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16. Controle Tarefas\2.0\"/>
    </mc:Choice>
  </mc:AlternateContent>
  <xr:revisionPtr revIDLastSave="0" documentId="13_ncr:1_{B7B1EE29-51C1-48FF-975A-B6ADCD0A1CAE}" xr6:coauthVersionLast="47" xr6:coauthVersionMax="47" xr10:uidLastSave="{00000000-0000-0000-0000-000000000000}"/>
  <workbookProtection workbookAlgorithmName="SHA-512" workbookHashValue="1S12aAoGE3Cxrs0gO9IsuZJTH/CtDQunVR4b56lhYaUdmDsXXiTfzC6lc1vBTRsSjHF1+Ru3pRBkGlkFH5uThA==" workbookSaltValue="u/TLMCFM6jcT5HuHUrCNHw==" workbookSpinCount="100000" lockStructure="1"/>
  <bookViews>
    <workbookView xWindow="-120" yWindow="-120" windowWidth="29040" windowHeight="15720" xr2:uid="{71DF97EE-FFF5-48AF-9A35-6816CB07EC12}"/>
  </bookViews>
  <sheets>
    <sheet name="Tutorial" sheetId="12" r:id="rId1"/>
    <sheet name="AJUDA" sheetId="13" r:id="rId2"/>
    <sheet name="Cadastros" sheetId="8" r:id="rId3"/>
    <sheet name="Tarefas" sheetId="3" r:id="rId4"/>
    <sheet name="Dashboard 1 - Geral" sheetId="5" r:id="rId5"/>
    <sheet name="Dashboard 2 - Mês" sheetId="9" r:id="rId6"/>
    <sheet name="Dashboard 3 - Setor" sheetId="10" r:id="rId7"/>
    <sheet name="Dashboard 4 - Responsável" sheetId="11" r:id="rId8"/>
    <sheet name="config" sheetId="4" state="veryHidden" r:id="rId9"/>
  </sheets>
  <externalReferences>
    <externalReference r:id="rId10"/>
  </externalReferences>
  <definedNames>
    <definedName name="_xlnm._FilterDatabase" localSheetId="3" hidden="1">Tarefas!$A$2:$J$11</definedName>
    <definedName name="iniciomes">config!$B$49</definedName>
    <definedName name="primeiro">INDEX([1]Logotipos!$C$2:$C$5,MATCH([1]Dados!$K$16,[1]Logotipos!$B$2:$B$5,0))</definedName>
    <definedName name="quarto">INDEX([1]Logotipos!$C$2:$C$5,MATCH([1]Dados!$K$19,[1]Logotipos!$B$2:$B$5,0))</definedName>
    <definedName name="segundo">INDEX([1]Logotipos!$C$2:$C$5,MATCH([1]Dados!$K$17,[1]Logotipos!$B$2:$B$5,0))</definedName>
    <definedName name="terceiro">INDEX([1]Logotipos!$C$2:$C$5,MATCH([1]Dados!$K$18,[1]Logotipos!$B$2:$B$5,0))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3" l="1"/>
  <c r="B120" i="4" l="1"/>
  <c r="C120" i="4" s="1"/>
  <c r="D120" i="4" s="1"/>
  <c r="E120" i="4" s="1"/>
  <c r="F120" i="4" s="1"/>
  <c r="G120" i="4" s="1"/>
  <c r="H120" i="4" s="1"/>
  <c r="I120" i="4" s="1"/>
  <c r="J120" i="4" s="1"/>
  <c r="K120" i="4" s="1"/>
  <c r="L120" i="4" s="1"/>
  <c r="B127" i="4"/>
  <c r="B109" i="4"/>
  <c r="B112" i="4" s="1"/>
  <c r="B93" i="4"/>
  <c r="Y9" i="8"/>
  <c r="Y10" i="8"/>
  <c r="Y11" i="8"/>
  <c r="Y12" i="8"/>
  <c r="Y13" i="8"/>
  <c r="Y14" i="8"/>
  <c r="Y15" i="8"/>
  <c r="Y16" i="8"/>
  <c r="Y17" i="8"/>
  <c r="Y18" i="8"/>
  <c r="Y19" i="8"/>
  <c r="X9" i="8"/>
  <c r="X10" i="8"/>
  <c r="X11" i="8"/>
  <c r="X12" i="8"/>
  <c r="X13" i="8"/>
  <c r="X14" i="8"/>
  <c r="X15" i="8"/>
  <c r="X16" i="8"/>
  <c r="X17" i="8"/>
  <c r="X18" i="8"/>
  <c r="X19" i="8"/>
  <c r="D87" i="4" a="1"/>
  <c r="C87" i="4" a="1"/>
  <c r="K87" i="4" a="1"/>
  <c r="L87" i="4" a="1"/>
  <c r="H121" i="4" a="1"/>
  <c r="F87" i="4" a="1"/>
  <c r="B87" i="4" a="1"/>
  <c r="B121" i="4" a="1"/>
  <c r="E87" i="4" a="1"/>
  <c r="D121" i="4" a="1"/>
  <c r="C121" i="4" a="1"/>
  <c r="G87" i="4" a="1"/>
  <c r="I87" i="4" a="1"/>
  <c r="I121" i="4" a="1"/>
  <c r="L121" i="4" a="1"/>
  <c r="H87" i="4" a="1"/>
  <c r="J87" i="4" a="1"/>
  <c r="G121" i="4" a="1"/>
  <c r="E121" i="4" a="1"/>
  <c r="F121" i="4" a="1"/>
  <c r="K121" i="4" a="1"/>
  <c r="J121" i="4" a="1"/>
  <c r="M120" i="4" l="1"/>
  <c r="D119" i="4"/>
  <c r="K121" i="4"/>
  <c r="C121" i="4"/>
  <c r="J121" i="4"/>
  <c r="I121" i="4"/>
  <c r="H121" i="4"/>
  <c r="G121" i="4"/>
  <c r="F121" i="4"/>
  <c r="E121" i="4"/>
  <c r="L121" i="4"/>
  <c r="D121" i="4"/>
  <c r="B121" i="4"/>
  <c r="B116" i="4"/>
  <c r="B117" i="4" s="1"/>
  <c r="E87" i="4"/>
  <c r="K87" i="4"/>
  <c r="K88" i="4" s="1"/>
  <c r="C87" i="4"/>
  <c r="J87" i="4"/>
  <c r="J88" i="4" s="1"/>
  <c r="I87" i="4"/>
  <c r="I88" i="4" s="1"/>
  <c r="H87" i="4"/>
  <c r="H88" i="4" s="1"/>
  <c r="G87" i="4"/>
  <c r="G88" i="4" s="1"/>
  <c r="F87" i="4"/>
  <c r="F88" i="4" s="1"/>
  <c r="L87" i="4"/>
  <c r="L88" i="4" s="1"/>
  <c r="D87" i="4"/>
  <c r="B87" i="4"/>
  <c r="B75" i="4"/>
  <c r="B78" i="4" s="1"/>
  <c r="M121" i="4" a="1"/>
  <c r="M121" i="4" l="1"/>
  <c r="N120" i="4"/>
  <c r="J123" i="4"/>
  <c r="J125" i="4" s="1"/>
  <c r="J122" i="4"/>
  <c r="J124" i="4" s="1"/>
  <c r="I122" i="4"/>
  <c r="I124" i="4" s="1"/>
  <c r="I123" i="4"/>
  <c r="I125" i="4" s="1"/>
  <c r="L122" i="4"/>
  <c r="L124" i="4" s="1"/>
  <c r="L123" i="4"/>
  <c r="L125" i="4" s="1"/>
  <c r="K122" i="4"/>
  <c r="K124" i="4" s="1"/>
  <c r="K123" i="4"/>
  <c r="K125" i="4" s="1"/>
  <c r="H122" i="4"/>
  <c r="H124" i="4" s="1"/>
  <c r="H123" i="4"/>
  <c r="H125" i="4" s="1"/>
  <c r="B82" i="4"/>
  <c r="B83" i="4" s="1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V10" i="8"/>
  <c r="V11" i="8"/>
  <c r="V12" i="8"/>
  <c r="V13" i="8"/>
  <c r="V14" i="8"/>
  <c r="V15" i="8"/>
  <c r="V16" i="8"/>
  <c r="V17" i="8"/>
  <c r="V18" i="8"/>
  <c r="V19" i="8"/>
  <c r="U19" i="8"/>
  <c r="U18" i="8"/>
  <c r="U17" i="8"/>
  <c r="U16" i="8"/>
  <c r="U15" i="8"/>
  <c r="U14" i="8"/>
  <c r="U13" i="8"/>
  <c r="U12" i="8"/>
  <c r="U11" i="8"/>
  <c r="U10" i="8"/>
  <c r="U9" i="8"/>
  <c r="V9" i="8" s="1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J3" i="3"/>
  <c r="N121" i="4" a="1"/>
  <c r="M123" i="4" l="1"/>
  <c r="M125" i="4" s="1"/>
  <c r="M122" i="4"/>
  <c r="M124" i="4" s="1"/>
  <c r="N121" i="4"/>
  <c r="O120" i="4"/>
  <c r="I3" i="3"/>
  <c r="O121" i="4" a="1"/>
  <c r="O121" i="4" l="1"/>
  <c r="P120" i="4"/>
  <c r="N123" i="4"/>
  <c r="N125" i="4" s="1"/>
  <c r="N122" i="4"/>
  <c r="N124" i="4" s="1"/>
  <c r="H4" i="3"/>
  <c r="P121" i="4" a="1"/>
  <c r="P121" i="4" l="1"/>
  <c r="Q120" i="4"/>
  <c r="O122" i="4"/>
  <c r="O124" i="4" s="1"/>
  <c r="O123" i="4"/>
  <c r="O125" i="4" s="1"/>
  <c r="J4" i="3"/>
  <c r="H5" i="3"/>
  <c r="I4" i="3"/>
  <c r="E39" i="4"/>
  <c r="E38" i="4"/>
  <c r="E37" i="4"/>
  <c r="Q121" i="4" a="1"/>
  <c r="Q121" i="4" l="1"/>
  <c r="R120" i="4"/>
  <c r="P122" i="4"/>
  <c r="P124" i="4" s="1"/>
  <c r="P123" i="4"/>
  <c r="P125" i="4" s="1"/>
  <c r="J5" i="3"/>
  <c r="I5" i="3"/>
  <c r="R121" i="4" a="1"/>
  <c r="R121" i="4" l="1"/>
  <c r="S120" i="4"/>
  <c r="Q122" i="4"/>
  <c r="Q124" i="4" s="1"/>
  <c r="Q123" i="4"/>
  <c r="Q125" i="4" s="1"/>
  <c r="J6" i="3"/>
  <c r="B43" i="4"/>
  <c r="B12" i="4"/>
  <c r="B11" i="4" s="1"/>
  <c r="B2" i="4"/>
  <c r="B3" i="4" s="1"/>
  <c r="S121" i="4" a="1"/>
  <c r="H6" i="3" l="1"/>
  <c r="I6" i="3"/>
  <c r="S121" i="4"/>
  <c r="T120" i="4"/>
  <c r="R122" i="4"/>
  <c r="R124" i="4" s="1"/>
  <c r="R123" i="4"/>
  <c r="R125" i="4" s="1"/>
  <c r="J7" i="3"/>
  <c r="H8" i="3"/>
  <c r="B49" i="4"/>
  <c r="B7" i="9" s="1" a="1"/>
  <c r="B7" i="9" s="1"/>
  <c r="C7" i="9" s="1"/>
  <c r="D7" i="9" s="1"/>
  <c r="E7" i="9" s="1"/>
  <c r="F7" i="9" s="1"/>
  <c r="G7" i="9" s="1"/>
  <c r="H7" i="9" s="1"/>
  <c r="B8" i="9" s="1"/>
  <c r="C8" i="9" s="1"/>
  <c r="D8" i="9" s="1"/>
  <c r="E8" i="9" s="1"/>
  <c r="F8" i="9" s="1"/>
  <c r="G8" i="9" s="1"/>
  <c r="H8" i="9" s="1"/>
  <c r="B9" i="9" s="1"/>
  <c r="C9" i="9" s="1"/>
  <c r="D9" i="9" s="1"/>
  <c r="E9" i="9" s="1"/>
  <c r="F9" i="9" s="1"/>
  <c r="G9" i="9" s="1"/>
  <c r="H9" i="9" s="1"/>
  <c r="B10" i="9" s="1"/>
  <c r="C10" i="9" s="1"/>
  <c r="D10" i="9" s="1"/>
  <c r="E10" i="9" s="1"/>
  <c r="F10" i="9" s="1"/>
  <c r="G10" i="9" s="1"/>
  <c r="H10" i="9" s="1"/>
  <c r="B11" i="9" s="1"/>
  <c r="C11" i="9" s="1"/>
  <c r="D11" i="9" s="1"/>
  <c r="E11" i="9" s="1"/>
  <c r="F11" i="9" s="1"/>
  <c r="G11" i="9" s="1"/>
  <c r="H11" i="9" s="1"/>
  <c r="B46" i="4"/>
  <c r="B42" i="4" s="1"/>
  <c r="B17" i="4"/>
  <c r="M17" i="4"/>
  <c r="L17" i="4"/>
  <c r="K17" i="4"/>
  <c r="J17" i="4"/>
  <c r="I17" i="4"/>
  <c r="H17" i="4"/>
  <c r="G17" i="4"/>
  <c r="F17" i="4"/>
  <c r="E17" i="4"/>
  <c r="D17" i="4"/>
  <c r="C17" i="4"/>
  <c r="B4" i="4"/>
  <c r="T121" i="4" a="1"/>
  <c r="H7" i="3" l="1"/>
  <c r="I7" i="3"/>
  <c r="T121" i="4"/>
  <c r="U120" i="4"/>
  <c r="S123" i="4"/>
  <c r="S125" i="4" s="1"/>
  <c r="S122" i="4"/>
  <c r="S124" i="4" s="1"/>
  <c r="J8" i="3"/>
  <c r="I8" i="3" s="1"/>
  <c r="B50" i="4"/>
  <c r="I18" i="4"/>
  <c r="J18" i="4"/>
  <c r="K18" i="4"/>
  <c r="L18" i="4"/>
  <c r="M18" i="4"/>
  <c r="C18" i="4"/>
  <c r="D18" i="4"/>
  <c r="E18" i="4"/>
  <c r="F18" i="4"/>
  <c r="G18" i="4"/>
  <c r="H18" i="4"/>
  <c r="B18" i="4"/>
  <c r="U121" i="4" a="1"/>
  <c r="U121" i="4" l="1"/>
  <c r="V120" i="4"/>
  <c r="T122" i="4"/>
  <c r="T124" i="4" s="1"/>
  <c r="T123" i="4"/>
  <c r="T125" i="4" s="1"/>
  <c r="G44" i="4"/>
  <c r="F44" i="4"/>
  <c r="N44" i="4" s="1"/>
  <c r="H10" i="3"/>
  <c r="H44" i="4"/>
  <c r="V121" i="4" a="1"/>
  <c r="J9" i="3" l="1"/>
  <c r="I9" i="3" s="1"/>
  <c r="H9" i="3"/>
  <c r="V121" i="4"/>
  <c r="W120" i="4"/>
  <c r="U122" i="4"/>
  <c r="U124" i="4" s="1"/>
  <c r="U123" i="4"/>
  <c r="U125" i="4" s="1"/>
  <c r="J10" i="3"/>
  <c r="I10" i="3" s="1"/>
  <c r="H11" i="3"/>
  <c r="I44" i="4"/>
  <c r="W121" i="4" a="1"/>
  <c r="W121" i="4" l="1"/>
  <c r="X120" i="4"/>
  <c r="V122" i="4"/>
  <c r="V124" i="4" s="1"/>
  <c r="V123" i="4"/>
  <c r="V125" i="4" s="1"/>
  <c r="J11" i="3"/>
  <c r="I11" i="3" s="1"/>
  <c r="J44" i="4"/>
  <c r="X121" i="4" a="1"/>
  <c r="X121" i="4" l="1"/>
  <c r="Y120" i="4"/>
  <c r="W122" i="4"/>
  <c r="W123" i="4"/>
  <c r="W125" i="4" s="1"/>
  <c r="W124" i="4"/>
  <c r="K44" i="4"/>
  <c r="Y121" i="4" a="1"/>
  <c r="Y121" i="4" l="1"/>
  <c r="Z120" i="4"/>
  <c r="X122" i="4"/>
  <c r="X124" i="4" s="1"/>
  <c r="X123" i="4"/>
  <c r="X125" i="4" s="1"/>
  <c r="L44" i="4"/>
  <c r="Z121" i="4" a="1"/>
  <c r="Z121" i="4" l="1"/>
  <c r="AA120" i="4"/>
  <c r="Y123" i="4"/>
  <c r="Y125" i="4" s="1"/>
  <c r="Y122" i="4"/>
  <c r="Y124" i="4" s="1"/>
  <c r="F45" i="4"/>
  <c r="AA121" i="4" a="1"/>
  <c r="AA121" i="4" l="1"/>
  <c r="AB120" i="4"/>
  <c r="Z122" i="4"/>
  <c r="Z124" i="4" s="1"/>
  <c r="Z123" i="4"/>
  <c r="Z125" i="4" s="1"/>
  <c r="G45" i="4"/>
  <c r="AB121" i="4" a="1"/>
  <c r="AB121" i="4" l="1"/>
  <c r="AC120" i="4"/>
  <c r="AA122" i="4"/>
  <c r="AA124" i="4" s="1"/>
  <c r="AA123" i="4"/>
  <c r="AA125" i="4" s="1"/>
  <c r="H45" i="4"/>
  <c r="AC121" i="4" a="1"/>
  <c r="AC121" i="4" l="1"/>
  <c r="AD120" i="4"/>
  <c r="AB122" i="4"/>
  <c r="AB124" i="4" s="1"/>
  <c r="AB123" i="4"/>
  <c r="AB125" i="4" s="1"/>
  <c r="I45" i="4"/>
  <c r="AD121" i="4" a="1"/>
  <c r="AD121" i="4" l="1"/>
  <c r="AE120" i="4"/>
  <c r="AC122" i="4"/>
  <c r="AC124" i="4" s="1"/>
  <c r="AC123" i="4"/>
  <c r="AC125" i="4" s="1"/>
  <c r="J45" i="4"/>
  <c r="AE121" i="4" a="1"/>
  <c r="AE121" i="4" l="1"/>
  <c r="AF120" i="4"/>
  <c r="AD123" i="4"/>
  <c r="AD125" i="4" s="1"/>
  <c r="AD122" i="4"/>
  <c r="AD124" i="4" s="1"/>
  <c r="K45" i="4"/>
  <c r="AF121" i="4" a="1"/>
  <c r="AF121" i="4" l="1"/>
  <c r="AG120" i="4"/>
  <c r="AE122" i="4"/>
  <c r="AE124" i="4" s="1"/>
  <c r="AE123" i="4"/>
  <c r="AE125" i="4" s="1"/>
  <c r="L45" i="4"/>
  <c r="AG121" i="4" a="1"/>
  <c r="AG121" i="4" l="1"/>
  <c r="AH120" i="4"/>
  <c r="AF123" i="4"/>
  <c r="AF125" i="4" s="1"/>
  <c r="AF122" i="4"/>
  <c r="AF124" i="4" s="1"/>
  <c r="F46" i="4"/>
  <c r="AH121" i="4" a="1"/>
  <c r="AH121" i="4" l="1"/>
  <c r="AI120" i="4"/>
  <c r="AG122" i="4"/>
  <c r="AG124" i="4" s="1"/>
  <c r="AG123" i="4"/>
  <c r="AG125" i="4" s="1"/>
  <c r="G46" i="4"/>
  <c r="AI121" i="4" a="1"/>
  <c r="AI121" i="4" l="1"/>
  <c r="AJ120" i="4"/>
  <c r="AH123" i="4"/>
  <c r="AH125" i="4" s="1"/>
  <c r="AH122" i="4"/>
  <c r="AH124" i="4" s="1"/>
  <c r="H46" i="4"/>
  <c r="AJ121" i="4" a="1"/>
  <c r="AJ121" i="4" l="1"/>
  <c r="AK120" i="4"/>
  <c r="AI122" i="4"/>
  <c r="AI124" i="4" s="1"/>
  <c r="AI123" i="4"/>
  <c r="AI125" i="4" s="1"/>
  <c r="I46" i="4"/>
  <c r="AK121" i="4" a="1"/>
  <c r="AK121" i="4" l="1"/>
  <c r="AJ122" i="4"/>
  <c r="AJ124" i="4" s="1"/>
  <c r="AJ123" i="4"/>
  <c r="AJ125" i="4" s="1"/>
  <c r="AL120" i="4"/>
  <c r="J46" i="4"/>
  <c r="AL121" i="4" a="1"/>
  <c r="AL121" i="4" l="1"/>
  <c r="AM120" i="4"/>
  <c r="AK123" i="4"/>
  <c r="AK125" i="4" s="1"/>
  <c r="AK122" i="4"/>
  <c r="AK124" i="4" s="1"/>
  <c r="K46" i="4"/>
  <c r="AM121" i="4" a="1"/>
  <c r="AM121" i="4" l="1"/>
  <c r="AN120" i="4"/>
  <c r="AL123" i="4"/>
  <c r="AL125" i="4" s="1"/>
  <c r="AL122" i="4"/>
  <c r="AL124" i="4" s="1"/>
  <c r="L46" i="4"/>
  <c r="AN121" i="4" a="1"/>
  <c r="AN121" i="4" l="1"/>
  <c r="AO120" i="4"/>
  <c r="AM122" i="4"/>
  <c r="AM124" i="4" s="1"/>
  <c r="AM123" i="4"/>
  <c r="AM125" i="4" s="1"/>
  <c r="F47" i="4"/>
  <c r="AO121" i="4" a="1"/>
  <c r="AO121" i="4" l="1"/>
  <c r="AP120" i="4"/>
  <c r="AN122" i="4"/>
  <c r="AN124" i="4" s="1"/>
  <c r="AN123" i="4"/>
  <c r="AN125" i="4" s="1"/>
  <c r="G47" i="4"/>
  <c r="AP121" i="4" a="1"/>
  <c r="AP121" i="4" l="1"/>
  <c r="AQ120" i="4"/>
  <c r="AO122" i="4"/>
  <c r="AO124" i="4" s="1"/>
  <c r="AO123" i="4"/>
  <c r="AO125" i="4" s="1"/>
  <c r="H47" i="4"/>
  <c r="AQ121" i="4" a="1"/>
  <c r="AQ121" i="4" l="1"/>
  <c r="AR120" i="4"/>
  <c r="AP123" i="4"/>
  <c r="AP125" i="4" s="1"/>
  <c r="AP122" i="4"/>
  <c r="AP124" i="4" s="1"/>
  <c r="I47" i="4"/>
  <c r="AR121" i="4" a="1"/>
  <c r="AR121" i="4" l="1"/>
  <c r="AS120" i="4"/>
  <c r="AQ122" i="4"/>
  <c r="AQ124" i="4" s="1"/>
  <c r="AQ123" i="4"/>
  <c r="AQ125" i="4" s="1"/>
  <c r="J47" i="4"/>
  <c r="AS121" i="4" a="1"/>
  <c r="AS121" i="4" l="1"/>
  <c r="AT120" i="4"/>
  <c r="AR122" i="4"/>
  <c r="AR124" i="4" s="1"/>
  <c r="AR123" i="4"/>
  <c r="AR125" i="4" s="1"/>
  <c r="K47" i="4"/>
  <c r="AT121" i="4" a="1"/>
  <c r="AT121" i="4" l="1"/>
  <c r="AU120" i="4"/>
  <c r="AS122" i="4"/>
  <c r="AS124" i="4" s="1"/>
  <c r="AS123" i="4"/>
  <c r="AS125" i="4" s="1"/>
  <c r="L47" i="4"/>
  <c r="AU121" i="4" a="1"/>
  <c r="AU121" i="4" l="1"/>
  <c r="AV120" i="4"/>
  <c r="AT122" i="4"/>
  <c r="AT124" i="4" s="1"/>
  <c r="AT123" i="4"/>
  <c r="AT125" i="4" s="1"/>
  <c r="F48" i="4"/>
  <c r="AV121" i="4" a="1"/>
  <c r="AV121" i="4" l="1"/>
  <c r="AW120" i="4"/>
  <c r="AU122" i="4"/>
  <c r="AU124" i="4" s="1"/>
  <c r="AU123" i="4"/>
  <c r="AU125" i="4" s="1"/>
  <c r="G48" i="4"/>
  <c r="AW121" i="4" a="1"/>
  <c r="AW121" i="4" l="1"/>
  <c r="AX120" i="4"/>
  <c r="AV122" i="4"/>
  <c r="AV124" i="4" s="1"/>
  <c r="AV123" i="4"/>
  <c r="AV125" i="4" s="1"/>
  <c r="H48" i="4"/>
  <c r="AX121" i="4" a="1"/>
  <c r="AX121" i="4" l="1"/>
  <c r="AY120" i="4"/>
  <c r="AW123" i="4"/>
  <c r="AW125" i="4" s="1"/>
  <c r="AW122" i="4"/>
  <c r="AW124" i="4" s="1"/>
  <c r="I48" i="4"/>
  <c r="AY121" i="4" a="1"/>
  <c r="AY121" i="4" l="1"/>
  <c r="AX122" i="4"/>
  <c r="AX124" i="4" s="1"/>
  <c r="AX123" i="4"/>
  <c r="AX125" i="4" s="1"/>
  <c r="J48" i="4"/>
  <c r="L48" i="4" l="1"/>
  <c r="K48" i="4"/>
  <c r="T48" i="4" l="1"/>
  <c r="S48" i="4"/>
  <c r="F19" i="4" l="1"/>
  <c r="R8" i="8"/>
  <c r="S8" i="8" s="1"/>
  <c r="R9" i="8"/>
  <c r="S9" i="8" s="1"/>
  <c r="U6" i="8"/>
  <c r="V6" i="8" s="1"/>
  <c r="U5" i="8"/>
  <c r="V5" i="8" s="1"/>
  <c r="P44" i="4" l="1"/>
  <c r="O44" i="4"/>
  <c r="Q44" i="4"/>
  <c r="B55" i="4"/>
  <c r="U8" i="8"/>
  <c r="V8" i="8" s="1"/>
  <c r="R7" i="8"/>
  <c r="S7" i="8" s="1"/>
  <c r="R10" i="8"/>
  <c r="S10" i="8" s="1"/>
  <c r="R6" i="8"/>
  <c r="S6" i="8" s="1"/>
  <c r="F20" i="4"/>
  <c r="U7" i="8"/>
  <c r="V7" i="8" s="1"/>
  <c r="H130" i="4"/>
  <c r="H98" i="4"/>
  <c r="I89" i="4"/>
  <c r="S45" i="4"/>
  <c r="R46" i="4"/>
  <c r="K20" i="4"/>
  <c r="H20" i="4"/>
  <c r="E19" i="4"/>
  <c r="K133" i="4"/>
  <c r="Q48" i="4"/>
  <c r="D122" i="4"/>
  <c r="N47" i="4"/>
  <c r="D88" i="4"/>
  <c r="D89" i="4" s="1"/>
  <c r="B54" i="4"/>
  <c r="S47" i="4"/>
  <c r="C123" i="4"/>
  <c r="C125" i="4" s="1"/>
  <c r="T46" i="4"/>
  <c r="AY123" i="4"/>
  <c r="AY125" i="4" s="1"/>
  <c r="I20" i="4"/>
  <c r="T47" i="4"/>
  <c r="H131" i="4"/>
  <c r="M20" i="4"/>
  <c r="Q47" i="4"/>
  <c r="C19" i="4"/>
  <c r="C122" i="4"/>
  <c r="H97" i="4"/>
  <c r="K89" i="4"/>
  <c r="O48" i="4"/>
  <c r="R48" i="4"/>
  <c r="Q46" i="4"/>
  <c r="AY122" i="4"/>
  <c r="AY124" i="4" s="1"/>
  <c r="C20" i="4"/>
  <c r="X8" i="8"/>
  <c r="E88" i="4"/>
  <c r="E89" i="4" s="1"/>
  <c r="O47" i="4"/>
  <c r="F89" i="4"/>
  <c r="Y7" i="8"/>
  <c r="N46" i="4"/>
  <c r="G123" i="4"/>
  <c r="G125" i="4" s="1"/>
  <c r="E123" i="4"/>
  <c r="H96" i="4"/>
  <c r="B88" i="4"/>
  <c r="B89" i="4" s="1"/>
  <c r="R47" i="4"/>
  <c r="I19" i="4"/>
  <c r="X5" i="8"/>
  <c r="H19" i="4"/>
  <c r="D123" i="4"/>
  <c r="F123" i="4"/>
  <c r="F125" i="4" s="1"/>
  <c r="J99" i="4"/>
  <c r="R54" i="8"/>
  <c r="S54" i="8" s="1"/>
  <c r="R5" i="8"/>
  <c r="S5" i="8" s="1"/>
  <c r="L133" i="4"/>
  <c r="B129" i="4"/>
  <c r="F122" i="4"/>
  <c r="F124" i="4" s="1"/>
  <c r="J89" i="4"/>
  <c r="Y6" i="8"/>
  <c r="N45" i="4"/>
  <c r="S44" i="4"/>
  <c r="Y8" i="8"/>
  <c r="O45" i="4"/>
  <c r="B53" i="4"/>
  <c r="C55" i="4" s="1"/>
  <c r="S46" i="4"/>
  <c r="T44" i="4"/>
  <c r="N48" i="4"/>
  <c r="G89" i="4"/>
  <c r="B95" i="4"/>
  <c r="H99" i="4"/>
  <c r="B96" i="4"/>
  <c r="B123" i="4"/>
  <c r="G122" i="4"/>
  <c r="G124" i="4" s="1"/>
  <c r="Y5" i="8"/>
  <c r="X6" i="8"/>
  <c r="T45" i="4"/>
  <c r="M19" i="4"/>
  <c r="P45" i="4"/>
  <c r="K99" i="4"/>
  <c r="K19" i="4"/>
  <c r="L19" i="4"/>
  <c r="B20" i="4"/>
  <c r="B19" i="4"/>
  <c r="B130" i="4"/>
  <c r="G20" i="4"/>
  <c r="L89" i="4"/>
  <c r="L99" i="4"/>
  <c r="J133" i="4"/>
  <c r="H89" i="4"/>
  <c r="P47" i="4"/>
  <c r="O46" i="4"/>
  <c r="D20" i="4"/>
  <c r="E122" i="4"/>
  <c r="H132" i="4"/>
  <c r="C88" i="4"/>
  <c r="C89" i="4" s="1"/>
  <c r="R44" i="4"/>
  <c r="Q45" i="4"/>
  <c r="X7" i="8"/>
  <c r="H133" i="4"/>
  <c r="P48" i="4"/>
  <c r="B122" i="4"/>
  <c r="L20" i="4"/>
  <c r="D19" i="4"/>
  <c r="R45" i="4"/>
  <c r="J20" i="4"/>
  <c r="P46" i="4"/>
  <c r="E20" i="4"/>
  <c r="J19" i="4"/>
  <c r="B64" i="4" l="1"/>
  <c r="E124" i="4"/>
  <c r="B65" i="4"/>
  <c r="B66" i="4"/>
  <c r="C64" i="4"/>
  <c r="C66" i="4"/>
  <c r="C65" i="4"/>
  <c r="G19" i="4"/>
  <c r="N19" i="4" s="1"/>
  <c r="C61" i="4"/>
  <c r="B61" i="4"/>
  <c r="D130" i="4"/>
  <c r="D95" i="4"/>
  <c r="S20" i="4"/>
  <c r="Z20" i="4"/>
  <c r="F39" i="4"/>
  <c r="V18" i="4"/>
  <c r="S19" i="4"/>
  <c r="G38" i="4"/>
  <c r="F38" i="4"/>
  <c r="V20" i="4"/>
  <c r="V17" i="4"/>
  <c r="V19" i="4"/>
  <c r="G39" i="4"/>
  <c r="S18" i="4"/>
  <c r="F37" i="4"/>
  <c r="H37" i="4" s="1"/>
  <c r="S17" i="4"/>
  <c r="X20" i="4"/>
  <c r="Y20" i="4"/>
  <c r="B59" i="4"/>
  <c r="C60" i="4"/>
  <c r="C59" i="4"/>
  <c r="B60" i="4"/>
  <c r="B125" i="4"/>
  <c r="N20" i="4"/>
  <c r="B38" i="4" s="1"/>
  <c r="D124" i="4"/>
  <c r="C124" i="4"/>
  <c r="E125" i="4"/>
  <c r="D129" i="4"/>
  <c r="D96" i="4"/>
  <c r="B124" i="4"/>
  <c r="D125" i="4"/>
  <c r="C54" i="4"/>
  <c r="H38" i="4" l="1"/>
  <c r="H39" i="4"/>
  <c r="N21" i="4"/>
  <c r="O20" i="4" s="1"/>
  <c r="F140" i="4"/>
  <c r="E140" i="4" s="1"/>
  <c r="F141" i="4"/>
  <c r="E141" i="4" s="1"/>
  <c r="F138" i="4"/>
  <c r="E138" i="4" s="1"/>
  <c r="F137" i="4"/>
  <c r="E137" i="4" s="1"/>
  <c r="F139" i="4"/>
  <c r="E139" i="4" s="1"/>
  <c r="C139" i="4"/>
  <c r="B139" i="4" s="1"/>
  <c r="C138" i="4"/>
  <c r="B138" i="4" s="1"/>
  <c r="C140" i="4"/>
  <c r="B140" i="4" s="1"/>
  <c r="C141" i="4"/>
  <c r="B141" i="4" s="1"/>
  <c r="C137" i="4"/>
  <c r="B137" i="4" s="1"/>
  <c r="B29" i="4" l="1"/>
  <c r="O19" i="4"/>
  <c r="B31" i="4" s="1"/>
  <c r="C3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<sst xmlns="http://schemas.openxmlformats.org/spreadsheetml/2006/main" count="205" uniqueCount="105">
  <si>
    <t>Descrição da Tarefas</t>
  </si>
  <si>
    <t>Responsável</t>
  </si>
  <si>
    <t>Prioridade</t>
  </si>
  <si>
    <t>Data Prevista Finalização</t>
  </si>
  <si>
    <t>Status</t>
  </si>
  <si>
    <t xml:space="preserve"> </t>
  </si>
  <si>
    <t>Título</t>
  </si>
  <si>
    <t>Texto</t>
  </si>
  <si>
    <t>Data Finalizada</t>
  </si>
  <si>
    <t>Setor</t>
  </si>
  <si>
    <t>Dashboard 1</t>
  </si>
  <si>
    <t>Globais</t>
  </si>
  <si>
    <t>Hoje</t>
  </si>
  <si>
    <t>Mês Atual</t>
  </si>
  <si>
    <t>Ano Atual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</si>
  <si>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</si>
  <si>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</si>
  <si>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</si>
  <si>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</si>
  <si>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</si>
  <si>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</si>
  <si>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</si>
  <si>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</si>
  <si>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</si>
  <si>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</si>
  <si>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</si>
  <si>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</si>
  <si>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Início</t>
  </si>
  <si>
    <t>Fim</t>
  </si>
  <si>
    <t>Tarefas Finalizadas</t>
  </si>
  <si>
    <t>Tarefas Pendentes</t>
  </si>
  <si>
    <t>TOTAL</t>
  </si>
  <si>
    <t>Data Criação da Tarefa</t>
  </si>
  <si>
    <t>Incremento</t>
  </si>
  <si>
    <t>Ano Escolhido</t>
  </si>
  <si>
    <t>Card 1</t>
  </si>
  <si>
    <t>Tìtulo</t>
  </si>
  <si>
    <t>Porcentagem</t>
  </si>
  <si>
    <t>Finalizadas</t>
  </si>
  <si>
    <t>Card 2</t>
  </si>
  <si>
    <t>Staus</t>
  </si>
  <si>
    <t>Finalizada</t>
  </si>
  <si>
    <t>Dashboard 2</t>
  </si>
  <si>
    <t>Mês Escolhido</t>
  </si>
  <si>
    <t>Lucas</t>
  </si>
  <si>
    <t>Marketing</t>
  </si>
  <si>
    <t>----------- Não ultrapassar -----------</t>
  </si>
  <si>
    <t>Alta</t>
  </si>
  <si>
    <t>Média</t>
  </si>
  <si>
    <t>Baixa</t>
  </si>
  <si>
    <t>NÃO PREENCHER</t>
  </si>
  <si>
    <t>OBRIGATÓRIO</t>
  </si>
  <si>
    <t>OPCIONAL</t>
  </si>
  <si>
    <t>OBRIGATÓRIO (SE FINALIZADA)</t>
  </si>
  <si>
    <t>Tìtulo 1</t>
  </si>
  <si>
    <t>Total Tarefas</t>
  </si>
  <si>
    <t>Total Tarefas Pendentes</t>
  </si>
  <si>
    <t>Tarefas Pendentes por Prioridade</t>
  </si>
  <si>
    <t>Atrasadas</t>
  </si>
  <si>
    <t>No Prazo</t>
  </si>
  <si>
    <t>Sem data</t>
  </si>
  <si>
    <t>Indefinido</t>
  </si>
  <si>
    <t>dom</t>
  </si>
  <si>
    <t>seg</t>
  </si>
  <si>
    <t>ter</t>
  </si>
  <si>
    <t>qua</t>
  </si>
  <si>
    <t>qui</t>
  </si>
  <si>
    <t>sex</t>
  </si>
  <si>
    <t>sáb</t>
  </si>
  <si>
    <t>Data Inicio Calendario</t>
  </si>
  <si>
    <t>Calendario</t>
  </si>
  <si>
    <t>Tarefas Criadas</t>
  </si>
  <si>
    <t>Data Fim</t>
  </si>
  <si>
    <t>Pendente</t>
  </si>
  <si>
    <t>Pendentes</t>
  </si>
  <si>
    <t>Desempate</t>
  </si>
  <si>
    <t>Top Responsável Pendentes</t>
  </si>
  <si>
    <t>QTd</t>
  </si>
  <si>
    <t>Responsavel pendentes (somente Dash 2)</t>
  </si>
  <si>
    <t>Setor pendentes (somente Dash 2)</t>
  </si>
  <si>
    <t>Top Setor Pendentes</t>
  </si>
  <si>
    <t>Dashboard 3</t>
  </si>
  <si>
    <t>Análise por Setor</t>
  </si>
  <si>
    <t>Não alterar!  Fórmulas de apoio</t>
  </si>
  <si>
    <t>Criados (somente Dash 3)</t>
  </si>
  <si>
    <t>Pendentes (somente Dash 3)</t>
  </si>
  <si>
    <t>Categorias</t>
  </si>
  <si>
    <t>Setor Selecionado</t>
  </si>
  <si>
    <t>Dashboard 4</t>
  </si>
  <si>
    <t>Análise por Responsável</t>
  </si>
  <si>
    <t>Incremento rolagem</t>
  </si>
  <si>
    <t>desempate pendentes</t>
  </si>
  <si>
    <t>desempate finalizadas</t>
  </si>
  <si>
    <t>TOP5</t>
  </si>
  <si>
    <t>qtd</t>
  </si>
  <si>
    <t>nome</t>
  </si>
  <si>
    <t>Top 5 Responsáveis com mais Tarefas Pendentes</t>
  </si>
  <si>
    <t>Top 5 Responsáveis com mais Tarefas Finalizadas</t>
  </si>
  <si>
    <t>Dias esperados para Conclusão (em dias)</t>
  </si>
  <si>
    <t>Esforço realizado (em dias)</t>
  </si>
  <si>
    <t>Acessando pela primeira vez?</t>
  </si>
  <si>
    <t>&gt;</t>
  </si>
  <si>
    <r>
      <t>Caso apareça a mensagem abaixo no seu Excel, clique no botão "</t>
    </r>
    <r>
      <rPr>
        <b/>
        <sz val="11"/>
        <color theme="1"/>
        <rFont val="Calibri"/>
        <family val="2"/>
        <scheme val="minor"/>
      </rPr>
      <t>Habilitar Edição</t>
    </r>
    <r>
      <rPr>
        <sz val="11"/>
        <color theme="1"/>
        <rFont val="Calibri"/>
        <family val="2"/>
        <scheme val="minor"/>
      </rPr>
      <t>" para permitir que você utilize a planilha.</t>
    </r>
  </si>
  <si>
    <t>Assista o nosso vídeo tutorial para te ajudar a utilizar melhor a nossa planilha.</t>
  </si>
  <si>
    <t>Exemplo de tarefa xyz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</si>
</sst>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mm"/>
    <numFmt numFmtId="165" formatCode="dd/mm/yy"/>
    <numFmt numFmtId="166" formatCode="dd"/>
    <numFmt numFmtId="167" formatCode="d"/>
    <numFmt numFmtId="168" formatCode="0.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0"/>
      <color theme="1" tint="0.14999847407452621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theme="1" tint="0.249977111117893"/>
      <name val="Calibri"/>
      <family val="2"/>
      <scheme val="minor"/>
    </font>
    <font>
      <b/>
      <strike/>
      <sz val="11"/>
      <color theme="1" tint="0.249977111117893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5959E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F8FE"/>
        <bgColor indexed="64"/>
      </patternFill>
    </fill>
    <fill>
      <patternFill patternType="solid">
        <fgColor rgb="FF3899FC"/>
        <bgColor indexed="64"/>
      </patternFill>
    </fill>
    <fill>
      <patternFill patternType="solid">
        <fgColor rgb="FF29D1B5"/>
        <bgColor indexed="64"/>
      </patternFill>
    </fill>
    <fill>
      <patternFill patternType="solid">
        <fgColor rgb="FFF64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5F7FB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959E7"/>
      </left>
      <right style="thin">
        <color rgb="FF5959E7"/>
      </right>
      <top style="thin">
        <color rgb="FF5959E7"/>
      </top>
      <bottom style="thin">
        <color rgb="FF5959E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5959E7"/>
      </left>
      <right style="thin">
        <color rgb="FF5959E7"/>
      </right>
      <top/>
      <bottom style="thin">
        <color rgb="FF5959E7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 style="medium">
        <color theme="0"/>
      </left>
      <right style="thin">
        <color theme="0" tint="-0.14996795556505021"/>
      </right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theme="0"/>
      </bottom>
      <diagonal/>
    </border>
    <border>
      <left style="thin">
        <color theme="0" tint="-0.14996795556505021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theme="0" tint="-0.14996795556505021"/>
      </right>
      <top style="medium">
        <color theme="0"/>
      </top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/>
      </top>
      <bottom style="medium">
        <color theme="0"/>
      </bottom>
      <diagonal/>
    </border>
    <border>
      <left style="thin">
        <color theme="0" tint="-0.14996795556505021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 tint="-0.14996795556505021"/>
      </right>
      <top style="medium">
        <color theme="0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/>
      </top>
      <bottom/>
      <diagonal/>
    </border>
    <border>
      <left style="thin">
        <color theme="0" tint="-0.14996795556505021"/>
      </left>
      <right style="medium">
        <color theme="0"/>
      </right>
      <top style="medium">
        <color theme="0"/>
      </top>
      <bottom/>
      <diagonal/>
    </border>
    <border>
      <left/>
      <right/>
      <top/>
      <bottom style="thin">
        <color rgb="FF3899FC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14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9" fontId="2" fillId="0" borderId="0" xfId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0" fillId="4" borderId="0" xfId="0" applyFill="1"/>
    <xf numFmtId="166" fontId="5" fillId="0" borderId="0" xfId="0" applyNumberFormat="1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center" vertical="center"/>
    </xf>
    <xf numFmtId="0" fontId="15" fillId="8" borderId="5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 vertical="center"/>
    </xf>
    <xf numFmtId="0" fontId="16" fillId="9" borderId="6" xfId="0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/>
    </xf>
    <xf numFmtId="0" fontId="14" fillId="4" borderId="0" xfId="0" applyFont="1" applyFill="1"/>
    <xf numFmtId="167" fontId="17" fillId="8" borderId="8" xfId="0" applyNumberFormat="1" applyFont="1" applyFill="1" applyBorder="1" applyAlignment="1">
      <alignment horizontal="center" vertical="center"/>
    </xf>
    <xf numFmtId="167" fontId="17" fillId="8" borderId="9" xfId="0" applyNumberFormat="1" applyFont="1" applyFill="1" applyBorder="1" applyAlignment="1">
      <alignment horizontal="center" vertical="center"/>
    </xf>
    <xf numFmtId="167" fontId="17" fillId="8" borderId="10" xfId="0" applyNumberFormat="1" applyFont="1" applyFill="1" applyBorder="1" applyAlignment="1">
      <alignment horizontal="center" vertical="center"/>
    </xf>
    <xf numFmtId="167" fontId="17" fillId="8" borderId="11" xfId="0" applyNumberFormat="1" applyFont="1" applyFill="1" applyBorder="1" applyAlignment="1">
      <alignment horizontal="center" vertical="center"/>
    </xf>
    <xf numFmtId="167" fontId="17" fillId="8" borderId="12" xfId="0" applyNumberFormat="1" applyFont="1" applyFill="1" applyBorder="1" applyAlignment="1">
      <alignment horizontal="center" vertical="center"/>
    </xf>
    <xf numFmtId="167" fontId="17" fillId="8" borderId="13" xfId="0" applyNumberFormat="1" applyFont="1" applyFill="1" applyBorder="1" applyAlignment="1">
      <alignment horizontal="center" vertical="center"/>
    </xf>
    <xf numFmtId="167" fontId="17" fillId="8" borderId="14" xfId="0" applyNumberFormat="1" applyFont="1" applyFill="1" applyBorder="1" applyAlignment="1">
      <alignment horizontal="center" vertical="center"/>
    </xf>
    <xf numFmtId="167" fontId="17" fillId="8" borderId="15" xfId="0" applyNumberFormat="1" applyFont="1" applyFill="1" applyBorder="1" applyAlignment="1">
      <alignment horizontal="center" vertical="center"/>
    </xf>
    <xf numFmtId="167" fontId="17" fillId="8" borderId="16" xfId="0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9" fillId="5" borderId="17" xfId="0" applyFont="1" applyFill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 indent="1"/>
    </xf>
    <xf numFmtId="0" fontId="0" fillId="9" borderId="0" xfId="0" applyFill="1"/>
    <xf numFmtId="0" fontId="21" fillId="9" borderId="0" xfId="0" applyFont="1" applyFill="1"/>
    <xf numFmtId="0" fontId="14" fillId="9" borderId="0" xfId="0" applyFont="1" applyFill="1" applyAlignment="1">
      <alignment horizontal="right"/>
    </xf>
    <xf numFmtId="0" fontId="2" fillId="11" borderId="0" xfId="0" applyFont="1" applyFill="1" applyAlignment="1">
      <alignment horizontal="center" vertical="center"/>
    </xf>
    <xf numFmtId="0" fontId="0" fillId="11" borderId="0" xfId="0" applyFill="1"/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 indent="1"/>
      <protection hidden="1"/>
    </xf>
    <xf numFmtId="0" fontId="9" fillId="0" borderId="0" xfId="0" applyFont="1" applyProtection="1"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 indent="1"/>
      <protection hidden="1"/>
    </xf>
    <xf numFmtId="0" fontId="10" fillId="0" borderId="2" xfId="0" applyFont="1" applyBorder="1" applyAlignment="1" applyProtection="1">
      <alignment horizontal="left" indent="1"/>
      <protection hidden="1"/>
    </xf>
    <xf numFmtId="0" fontId="0" fillId="0" borderId="1" xfId="0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0" fillId="12" borderId="0" xfId="0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0" fillId="0" borderId="2" xfId="0" applyFont="1" applyBorder="1" applyAlignment="1" applyProtection="1">
      <alignment horizontal="left" indent="1"/>
      <protection locked="0"/>
    </xf>
    <xf numFmtId="0" fontId="22" fillId="0" borderId="2" xfId="0" applyFont="1" applyBorder="1" applyAlignment="1" applyProtection="1">
      <alignment horizontal="left" indent="1"/>
      <protection hidden="1"/>
    </xf>
    <xf numFmtId="0" fontId="3" fillId="10" borderId="3" xfId="0" applyFont="1" applyFill="1" applyBorder="1" applyAlignment="1" applyProtection="1">
      <alignment horizontal="center" vertical="center" wrapText="1"/>
      <protection hidden="1"/>
    </xf>
    <xf numFmtId="0" fontId="13" fillId="3" borderId="3" xfId="0" applyFont="1" applyFill="1" applyBorder="1" applyAlignment="1" applyProtection="1">
      <alignment horizontal="center" vertical="center" wrapText="1"/>
      <protection hidden="1"/>
    </xf>
    <xf numFmtId="1" fontId="3" fillId="7" borderId="3" xfId="0" applyNumberFormat="1" applyFont="1" applyFill="1" applyBorder="1" applyAlignment="1" applyProtection="1">
      <alignment horizontal="center" vertical="center" wrapText="1"/>
      <protection hidden="1"/>
    </xf>
    <xf numFmtId="14" fontId="3" fillId="7" borderId="3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8" fillId="6" borderId="3" xfId="0" applyFont="1" applyFill="1" applyBorder="1" applyAlignment="1" applyProtection="1">
      <alignment horizontal="center" vertical="center" wrapText="1"/>
      <protection hidden="1"/>
    </xf>
    <xf numFmtId="0" fontId="18" fillId="6" borderId="3" xfId="0" applyFont="1" applyFill="1" applyBorder="1" applyAlignment="1" applyProtection="1">
      <alignment horizontal="center" vertical="center"/>
      <protection hidden="1"/>
    </xf>
    <xf numFmtId="14" fontId="18" fillId="6" borderId="3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/>
      <protection hidden="1"/>
    </xf>
    <xf numFmtId="1" fontId="12" fillId="0" borderId="4" xfId="0" applyNumberFormat="1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14" fontId="12" fillId="0" borderId="0" xfId="0" applyNumberFormat="1" applyFont="1" applyAlignment="1" applyProtection="1">
      <alignment horizontal="center"/>
      <protection hidden="1"/>
    </xf>
    <xf numFmtId="1" fontId="12" fillId="0" borderId="0" xfId="0" applyNumberFormat="1" applyFont="1" applyAlignment="1" applyProtection="1">
      <alignment horizontal="center"/>
      <protection hidden="1"/>
    </xf>
    <xf numFmtId="14" fontId="12" fillId="0" borderId="4" xfId="0" applyNumberFormat="1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14" fontId="12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/>
      <protection locked="0"/>
    </xf>
    <xf numFmtId="1" fontId="18" fillId="7" borderId="3" xfId="0" applyNumberFormat="1" applyFont="1" applyFill="1" applyBorder="1" applyAlignment="1" applyProtection="1">
      <alignment horizontal="center" vertical="center" wrapText="1"/>
      <protection hidden="1"/>
    </xf>
    <xf numFmtId="0" fontId="18" fillId="7" borderId="3" xfId="0" applyFont="1" applyFill="1" applyBorder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wrapText="1"/>
      <protection hidden="1"/>
    </xf>
    <xf numFmtId="0" fontId="11" fillId="0" borderId="0" xfId="0" quotePrefix="1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20" fillId="10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</cellXfs>
  <cellStyles count="2">
    <cellStyle name="Normal" xfId="0" builtinId="0"/>
    <cellStyle name="Porcentagem" xfId="1" builtinId="5"/>
  </cellStyles>
  <dxfs count="3">
    <dxf>
      <font>
        <color theme="0" tint="-4.9989318521683403E-2"/>
      </font>
    </dxf>
    <dxf>
      <font>
        <b/>
        <i val="0"/>
        <color theme="1" tint="0.14993743705557422"/>
      </font>
      <fill>
        <patternFill>
          <bgColor rgb="FFF64B57"/>
        </patternFill>
      </fill>
    </dxf>
    <dxf>
      <font>
        <b/>
        <i val="0"/>
        <color theme="1" tint="0.14993743705557422"/>
      </font>
      <fill>
        <patternFill>
          <bgColor rgb="FF29D1B5"/>
        </patternFill>
      </fill>
    </dxf>
  </dxfs>
  <tableStyles count="0" defaultTableStyle="TableStyleMedium2" defaultPivotStyle="PivotStyleLight16"/>
  <colors>
    <mruColors>
      <color rgb="FFF64B57"/>
      <color rgb="FF29D1B5"/>
      <color rgb="FF5959E7"/>
      <color rgb="FFFFFFFF"/>
      <color rgb="FFF7F8FE"/>
      <color rgb="FF3899FC"/>
      <color rgb="FF8062ED"/>
      <color rgb="FFE1E5FB"/>
      <color rgb="FF82E6D5"/>
      <color rgb="FF9707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373400707794226E-3"/>
          <c:y val="3.2755374012982348E-2"/>
          <c:w val="0.98625063807643065"/>
          <c:h val="0.72614805413372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config!$A$19</c:f>
              <c:strCache>
                <c:ptCount val="1"/>
                <c:pt idx="0">
                  <c:v>Tarefas Finalizadas</c:v>
                </c:pt>
              </c:strCache>
            </c:strRef>
          </c:tx>
          <c:spPr>
            <a:solidFill>
              <a:srgbClr val="29D1B5"/>
            </a:solidFill>
            <a:ln>
              <a:solidFill>
                <a:srgbClr val="29D1B5"/>
              </a:solidFill>
            </a:ln>
            <a:effectLst/>
          </c:spPr>
          <c:invertIfNegative val="0"/>
          <c:dLbls>
            <c:spPr>
              <a:solidFill>
                <a:schemeClr val="bg1">
                  <a:alpha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29D1B5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config!$B$16:$M$16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config!$B$19:$M$19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42-4372-B699-AC7764CB55CF}"/>
            </c:ext>
          </c:extLst>
        </c:ser>
        <c:ser>
          <c:idx val="1"/>
          <c:order val="1"/>
          <c:tx>
            <c:strRef>
              <c:f>config!$A$20</c:f>
              <c:strCache>
                <c:ptCount val="1"/>
                <c:pt idx="0">
                  <c:v>Tarefas Pendentes</c:v>
                </c:pt>
              </c:strCache>
            </c:strRef>
          </c:tx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>
                  <a:alpha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config!$B$16:$M$16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config!$B$20:$M$20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42-4372-B699-AC7764CB5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10"/>
        <c:axId val="1940547376"/>
        <c:axId val="1940566096"/>
      </c:barChart>
      <c:catAx>
        <c:axId val="194054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0566096"/>
        <c:crosses val="autoZero"/>
        <c:auto val="1"/>
        <c:lblAlgn val="ctr"/>
        <c:lblOffset val="100"/>
        <c:noMultiLvlLbl val="0"/>
      </c:catAx>
      <c:valAx>
        <c:axId val="1940566096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940547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74674560339727092"/>
          <c:y val="0.89604713849696771"/>
          <c:w val="0.23702781548719518"/>
          <c:h val="9.98679864497485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66830065359479"/>
          <c:y val="0.15522222222222223"/>
          <c:w val="0.52119771241830071"/>
          <c:h val="0.779816666666666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config!$J$98:$L$98</c:f>
              <c:strCache>
                <c:ptCount val="3"/>
                <c:pt idx="0">
                  <c:v>Atrasadas</c:v>
                </c:pt>
                <c:pt idx="1">
                  <c:v>No Prazo</c:v>
                </c:pt>
                <c:pt idx="2">
                  <c:v>Sem data</c:v>
                </c:pt>
              </c:strCache>
            </c:strRef>
          </c:tx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config!$X$19:$Z$19</c:f>
              <c:strCache>
                <c:ptCount val="3"/>
                <c:pt idx="0">
                  <c:v>Atrasadas</c:v>
                </c:pt>
                <c:pt idx="1">
                  <c:v>No Prazo</c:v>
                </c:pt>
                <c:pt idx="2">
                  <c:v>Sem data</c:v>
                </c:pt>
              </c:strCache>
            </c:strRef>
          </c:cat>
          <c:val>
            <c:numRef>
              <c:f>config!$J$99:$L$99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B7-474B-809C-12184ECBF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30713375"/>
        <c:axId val="530697535"/>
      </c:barChart>
      <c:catAx>
        <c:axId val="5307133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0697535"/>
        <c:crosses val="autoZero"/>
        <c:auto val="1"/>
        <c:lblAlgn val="ctr"/>
        <c:lblOffset val="100"/>
        <c:noMultiLvlLbl val="0"/>
      </c:catAx>
      <c:valAx>
        <c:axId val="53069753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530713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003946195261468E-2"/>
          <c:y val="3.2755374012982348E-2"/>
          <c:w val="0.94659703103513437"/>
          <c:h val="0.72614805413372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config!$C$136</c:f>
              <c:strCache>
                <c:ptCount val="1"/>
                <c:pt idx="0">
                  <c:v>qtd</c:v>
                </c:pt>
              </c:strCache>
            </c:strRef>
          </c:tx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config!$B$137:$B$141</c:f>
            </c:multiLvlStrRef>
          </c:cat>
          <c:val>
            <c:numRef>
              <c:f>config!$C$137:$C$141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99-4CE4-BC08-01AD336609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10"/>
        <c:axId val="1940547376"/>
        <c:axId val="1940566096"/>
      </c:barChart>
      <c:catAx>
        <c:axId val="194054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0566096"/>
        <c:crosses val="autoZero"/>
        <c:auto val="1"/>
        <c:lblAlgn val="ctr"/>
        <c:lblOffset val="100"/>
        <c:noMultiLvlLbl val="0"/>
      </c:catAx>
      <c:valAx>
        <c:axId val="1940566096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94054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858682138416907E-2"/>
          <c:y val="3.2754921259842522E-2"/>
          <c:w val="0.95634246788230404"/>
          <c:h val="0.72614805413372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config!$F$136</c:f>
              <c:strCache>
                <c:ptCount val="1"/>
                <c:pt idx="0">
                  <c:v>qtd</c:v>
                </c:pt>
              </c:strCache>
            </c:strRef>
          </c:tx>
          <c:spPr>
            <a:solidFill>
              <a:srgbClr val="29D1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29D1B5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config!$E$137:$E$141</c:f>
            </c:multiLvlStrRef>
          </c:cat>
          <c:val>
            <c:numRef>
              <c:f>config!$F$137:$F$141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17-4855-AA5A-C103AE28D93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10"/>
        <c:axId val="1940547376"/>
        <c:axId val="1940566096"/>
      </c:barChart>
      <c:catAx>
        <c:axId val="194054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0566096"/>
        <c:crosses val="autoZero"/>
        <c:auto val="1"/>
        <c:lblAlgn val="ctr"/>
        <c:lblOffset val="100"/>
        <c:noMultiLvlLbl val="0"/>
      </c:catAx>
      <c:valAx>
        <c:axId val="1940566096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94054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373400707794226E-3"/>
          <c:y val="3.2755374012982348E-2"/>
          <c:w val="0.98625063807643065"/>
          <c:h val="0.8261479190101237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config!$A$122</c:f>
              <c:strCache>
                <c:ptCount val="1"/>
                <c:pt idx="0">
                  <c:v>Tarefas Pendentes</c:v>
                </c:pt>
              </c:strCache>
            </c:strRef>
          </c:tx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config!$B$121:$L$121</c:f>
              <c:strCache>
                <c:ptCount val="1"/>
                <c:pt idx="0">
                  <c:v>Lucas</c:v>
                </c:pt>
              </c:strCache>
            </c:strRef>
          </c:cat>
          <c:val>
            <c:numRef>
              <c:f>config!$B$122:$L$122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D4-4106-9E7C-EFE805A64F76}"/>
            </c:ext>
          </c:extLst>
        </c:ser>
        <c:ser>
          <c:idx val="0"/>
          <c:order val="1"/>
          <c:tx>
            <c:strRef>
              <c:f>config!$A$88</c:f>
              <c:strCache>
                <c:ptCount val="1"/>
                <c:pt idx="0">
                  <c:v>Tarefas Pendentes</c:v>
                </c:pt>
              </c:strCache>
            </c:strRef>
          </c:tx>
          <c:spPr>
            <a:solidFill>
              <a:srgbClr val="29D1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29D1B5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config!$B$121:$L$121</c:f>
              <c:strCache>
                <c:ptCount val="1"/>
                <c:pt idx="0">
                  <c:v>Lucas</c:v>
                </c:pt>
              </c:strCache>
            </c:strRef>
          </c:cat>
          <c:val>
            <c:numRef>
              <c:f>config!$B$123:$L$123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D4-4106-9E7C-EFE805A64F7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10"/>
        <c:axId val="1940547376"/>
        <c:axId val="1940566096"/>
      </c:barChart>
      <c:catAx>
        <c:axId val="194054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0566096"/>
        <c:crosses val="autoZero"/>
        <c:auto val="1"/>
        <c:lblAlgn val="ctr"/>
        <c:lblOffset val="100"/>
        <c:noMultiLvlLbl val="0"/>
      </c:catAx>
      <c:valAx>
        <c:axId val="1940566096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940547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76135786463771238"/>
          <c:y val="0.89604713849696771"/>
          <c:w val="0.22241554606663605"/>
          <c:h val="9.98679864497485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47623597042406"/>
          <c:y val="0.15522222222222223"/>
          <c:w val="0.58811691353925655"/>
          <c:h val="0.7799055555555555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29D1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29D1B5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config!$R$17:$R$20</c:f>
              <c:strCache>
                <c:ptCount val="4"/>
                <c:pt idx="0">
                  <c:v>Alta</c:v>
                </c:pt>
                <c:pt idx="1">
                  <c:v>Média</c:v>
                </c:pt>
                <c:pt idx="2">
                  <c:v>Baixa</c:v>
                </c:pt>
                <c:pt idx="3">
                  <c:v>Indefinido</c:v>
                </c:pt>
              </c:strCache>
            </c:strRef>
          </c:cat>
          <c:val>
            <c:numRef>
              <c:f>config!$S$17:$S$20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61-48CA-82D9-C299EB8FA6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530713375"/>
        <c:axId val="530697535"/>
      </c:barChart>
      <c:catAx>
        <c:axId val="5307133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0697535"/>
        <c:crosses val="autoZero"/>
        <c:auto val="1"/>
        <c:lblAlgn val="ctr"/>
        <c:lblOffset val="100"/>
        <c:noMultiLvlLbl val="0"/>
      </c:catAx>
      <c:valAx>
        <c:axId val="53069753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530713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66830065359479"/>
          <c:y val="0.15522222222222223"/>
          <c:w val="0.59625689519306535"/>
          <c:h val="0.779816666666666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config!$R$17:$R$20</c:f>
              <c:strCache>
                <c:ptCount val="4"/>
                <c:pt idx="0">
                  <c:v>Alta</c:v>
                </c:pt>
                <c:pt idx="1">
                  <c:v>Média</c:v>
                </c:pt>
                <c:pt idx="2">
                  <c:v>Baixa</c:v>
                </c:pt>
                <c:pt idx="3">
                  <c:v>Indefinido</c:v>
                </c:pt>
              </c:strCache>
            </c:strRef>
          </c:cat>
          <c:val>
            <c:numRef>
              <c:f>config!$V$17:$V$20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61-48CA-82D9-C299EB8FA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30713375"/>
        <c:axId val="530697535"/>
      </c:barChart>
      <c:catAx>
        <c:axId val="5307133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0697535"/>
        <c:crosses val="autoZero"/>
        <c:auto val="1"/>
        <c:lblAlgn val="ctr"/>
        <c:lblOffset val="100"/>
        <c:noMultiLvlLbl val="0"/>
      </c:catAx>
      <c:valAx>
        <c:axId val="53069753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530713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66830065359479"/>
          <c:y val="0.15522222222222223"/>
          <c:w val="0.52119771241830071"/>
          <c:h val="0.779816666666666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config!$X$19:$Z$19</c:f>
              <c:strCache>
                <c:ptCount val="3"/>
                <c:pt idx="0">
                  <c:v>Atrasadas</c:v>
                </c:pt>
                <c:pt idx="1">
                  <c:v>No Prazo</c:v>
                </c:pt>
                <c:pt idx="2">
                  <c:v>Sem data</c:v>
                </c:pt>
              </c:strCache>
            </c:strRef>
          </c:tx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64B57">
                  <a:alpha val="5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E20-4C95-9184-04D93B1DB245}"/>
              </c:ext>
            </c:extLst>
          </c:dPt>
          <c:dPt>
            <c:idx val="2"/>
            <c:invertIfNegative val="0"/>
            <c:bubble3D val="0"/>
            <c:spPr>
              <a:solidFill>
                <a:srgbClr val="F64B57">
                  <a:alpha val="8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E20-4C95-9184-04D93B1DB2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config!$X$19:$Z$19</c:f>
              <c:strCache>
                <c:ptCount val="3"/>
                <c:pt idx="0">
                  <c:v>Atrasadas</c:v>
                </c:pt>
                <c:pt idx="1">
                  <c:v>No Prazo</c:v>
                </c:pt>
                <c:pt idx="2">
                  <c:v>Sem data</c:v>
                </c:pt>
              </c:strCache>
            </c:strRef>
          </c:cat>
          <c:val>
            <c:numRef>
              <c:f>config!$X$20:$Z$20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0-4C95-9184-04D93B1DB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30713375"/>
        <c:axId val="530697535"/>
      </c:barChart>
      <c:catAx>
        <c:axId val="5307133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0697535"/>
        <c:crosses val="autoZero"/>
        <c:auto val="1"/>
        <c:lblAlgn val="ctr"/>
        <c:lblOffset val="100"/>
        <c:noMultiLvlLbl val="0"/>
      </c:catAx>
      <c:valAx>
        <c:axId val="53069753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530713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66830065359479"/>
          <c:y val="0.15522222222222223"/>
          <c:w val="0.59625689519306535"/>
          <c:h val="0.779816666666666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config!$B$59:$B$61</c:f>
              <c:strCache>
                <c:ptCount val="3"/>
                <c:pt idx="0">
                  <c:v>Lucas</c:v>
                </c:pt>
                <c:pt idx="1">
                  <c:v>#NÚM!</c:v>
                </c:pt>
                <c:pt idx="2">
                  <c:v>#NÚM!</c:v>
                </c:pt>
              </c:strCache>
            </c:strRef>
          </c:cat>
          <c:val>
            <c:numRef>
              <c:f>config!$C$59:$C$61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B5-4580-9F5E-70042E59E7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30713375"/>
        <c:axId val="530697535"/>
      </c:barChart>
      <c:catAx>
        <c:axId val="5307133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0697535"/>
        <c:crosses val="autoZero"/>
        <c:auto val="1"/>
        <c:lblAlgn val="ctr"/>
        <c:lblOffset val="100"/>
        <c:noMultiLvlLbl val="0"/>
      </c:catAx>
      <c:valAx>
        <c:axId val="53069753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530713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9646090950125"/>
          <c:y val="0.15522222222222223"/>
          <c:w val="0.48127893035762093"/>
          <c:h val="0.7798166666666667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config!$B$64:$B$66</c:f>
              <c:strCache>
                <c:ptCount val="3"/>
                <c:pt idx="0">
                  <c:v>Marketing</c:v>
                </c:pt>
                <c:pt idx="1">
                  <c:v>#NÚM!</c:v>
                </c:pt>
                <c:pt idx="2">
                  <c:v>#NÚM!</c:v>
                </c:pt>
              </c:strCache>
            </c:strRef>
          </c:cat>
          <c:val>
            <c:numRef>
              <c:f>config!$C$64:$C$66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53-4AE2-A049-C337D2E4F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30713375"/>
        <c:axId val="530697535"/>
      </c:barChart>
      <c:catAx>
        <c:axId val="5307133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0697535"/>
        <c:crosses val="autoZero"/>
        <c:auto val="1"/>
        <c:lblAlgn val="ctr"/>
        <c:lblOffset val="100"/>
        <c:noMultiLvlLbl val="0"/>
      </c:catAx>
      <c:valAx>
        <c:axId val="53069753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530713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573606164998121"/>
          <c:y val="4.0036660154085135E-2"/>
          <c:w val="0.68062548937799694"/>
          <c:h val="0.87632643827633061"/>
        </c:manualLayout>
      </c:layout>
      <c:doughnutChart>
        <c:varyColors val="1"/>
        <c:ser>
          <c:idx val="0"/>
          <c:order val="0"/>
          <c:spPr>
            <a:ln w="381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rgbClr val="29D1B5"/>
              </a:solidFill>
              <a:ln w="381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D95-40DC-81CA-8F4C72FF14B9}"/>
              </c:ext>
            </c:extLst>
          </c:dPt>
          <c:dPt>
            <c:idx val="1"/>
            <c:bubble3D val="0"/>
            <c:spPr>
              <a:solidFill>
                <a:srgbClr val="E1E5FB"/>
              </a:solidFill>
              <a:ln w="381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D95-40DC-81CA-8F4C72FF14B9}"/>
              </c:ext>
            </c:extLst>
          </c:dPt>
          <c:cat>
            <c:strRef>
              <c:f>config!$A$54:$A$55</c:f>
              <c:strCache>
                <c:ptCount val="2"/>
                <c:pt idx="0">
                  <c:v>Tarefas Finalizadas</c:v>
                </c:pt>
                <c:pt idx="1">
                  <c:v>Tarefas Pendentes</c:v>
                </c:pt>
              </c:strCache>
            </c:strRef>
          </c:cat>
          <c:val>
            <c:numRef>
              <c:f>config!$C$54:$C$55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D95-40DC-81CA-8F4C72FF1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857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373400707794226E-3"/>
          <c:y val="3.2755374012982348E-2"/>
          <c:w val="0.98625063807643065"/>
          <c:h val="0.726148054133725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config!$A$89</c:f>
              <c:strCache>
                <c:ptCount val="1"/>
                <c:pt idx="0">
                  <c:v>Tarefas Finalizadas</c:v>
                </c:pt>
              </c:strCache>
            </c:strRef>
          </c:tx>
          <c:spPr>
            <a:solidFill>
              <a:srgbClr val="29D1B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29D1B5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config!$B$87:$L$87</c:f>
              <c:strCache>
                <c:ptCount val="1"/>
                <c:pt idx="0">
                  <c:v>Marketing</c:v>
                </c:pt>
              </c:strCache>
            </c:strRef>
          </c:cat>
          <c:val>
            <c:numRef>
              <c:f>config!$B$89:$L$89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C3-47F6-92A9-BFA7FAC52B40}"/>
            </c:ext>
          </c:extLst>
        </c:ser>
        <c:ser>
          <c:idx val="0"/>
          <c:order val="1"/>
          <c:tx>
            <c:strRef>
              <c:f>config!$A$88</c:f>
              <c:strCache>
                <c:ptCount val="1"/>
                <c:pt idx="0">
                  <c:v>Tarefas Pendentes</c:v>
                </c:pt>
              </c:strCache>
            </c:strRef>
          </c:tx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config!$B$87:$L$87</c:f>
              <c:strCache>
                <c:ptCount val="1"/>
                <c:pt idx="0">
                  <c:v>Marketing</c:v>
                </c:pt>
              </c:strCache>
            </c:strRef>
          </c:cat>
          <c:val>
            <c:numRef>
              <c:f>config!$B$88:$L$88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C3-47F6-92A9-BFA7FAC52B4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10"/>
        <c:axId val="1940547376"/>
        <c:axId val="1940566096"/>
      </c:barChart>
      <c:catAx>
        <c:axId val="194054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40566096"/>
        <c:crosses val="autoZero"/>
        <c:auto val="1"/>
        <c:lblAlgn val="ctr"/>
        <c:lblOffset val="100"/>
        <c:noMultiLvlLbl val="0"/>
      </c:catAx>
      <c:valAx>
        <c:axId val="1940566096"/>
        <c:scaling>
          <c:orientation val="minMax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940547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76135786463771238"/>
          <c:y val="0.89604713849696771"/>
          <c:w val="0.22241554606663605"/>
          <c:h val="9.98679864497485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66830065359479"/>
          <c:y val="0.15522222222222223"/>
          <c:w val="0.59625689519306535"/>
          <c:h val="0.779816666666666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config!$H$95</c:f>
              <c:strCache>
                <c:ptCount val="1"/>
                <c:pt idx="0">
                  <c:v>Pendente</c:v>
                </c:pt>
              </c:strCache>
            </c:strRef>
          </c:tx>
          <c:spPr>
            <a:solidFill>
              <a:srgbClr val="F64B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64B57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config!$G$96:$G$99</c:f>
              <c:strCache>
                <c:ptCount val="4"/>
                <c:pt idx="0">
                  <c:v>Alta</c:v>
                </c:pt>
                <c:pt idx="1">
                  <c:v>Média</c:v>
                </c:pt>
                <c:pt idx="2">
                  <c:v>Baixa</c:v>
                </c:pt>
                <c:pt idx="3">
                  <c:v>Indefinido</c:v>
                </c:pt>
              </c:strCache>
            </c:strRef>
          </c:cat>
          <c:val>
            <c:numRef>
              <c:f>config!$H$96:$H$99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41-4B58-A667-C5829242E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30713375"/>
        <c:axId val="530697535"/>
      </c:barChart>
      <c:catAx>
        <c:axId val="5307133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0697535"/>
        <c:crosses val="autoZero"/>
        <c:auto val="1"/>
        <c:lblAlgn val="ctr"/>
        <c:lblOffset val="100"/>
        <c:noMultiLvlLbl val="0"/>
      </c:catAx>
      <c:valAx>
        <c:axId val="530697535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530713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config!$B$13" max="15" page="10" val="4"/>
</file>

<file path=xl/ctrlProps/ctrlProp2.xml><?xml version="1.0" encoding="utf-8"?>
<formControlPr xmlns="http://schemas.microsoft.com/office/spreadsheetml/2009/9/main" objectType="Spin" dx="22" fmlaLink="config!$B$44" max="15" page="10" val="4"/>
</file>

<file path=xl/ctrlProps/ctrlProp3.xml><?xml version="1.0" encoding="utf-8"?>
<formControlPr xmlns="http://schemas.microsoft.com/office/spreadsheetml/2009/9/main" objectType="Spin" dx="22" fmlaLink="config!$B$47" max="11" page="10" val="0"/>
</file>

<file path=xl/ctrlProps/ctrlProp4.xml><?xml version="1.0" encoding="utf-8"?>
<formControlPr xmlns="http://schemas.microsoft.com/office/spreadsheetml/2009/9/main" objectType="Spin" dx="22" fmlaLink="config!$B$76" max="15" page="10" val="4"/>
</file>

<file path=xl/ctrlProps/ctrlProp5.xml><?xml version="1.0" encoding="utf-8"?>
<formControlPr xmlns="http://schemas.microsoft.com/office/spreadsheetml/2009/9/main" objectType="Spin" dx="22" fmlaLink="config!$B$79" max="11" page="10" val="2"/>
</file>

<file path=xl/ctrlProps/ctrlProp6.xml><?xml version="1.0" encoding="utf-8"?>
<formControlPr xmlns="http://schemas.microsoft.com/office/spreadsheetml/2009/9/main" objectType="Spin" dx="22" fmlaLink="config!$B$110" max="15" page="10" val="4"/>
</file>

<file path=xl/ctrlProps/ctrlProp7.xml><?xml version="1.0" encoding="utf-8"?>
<formControlPr xmlns="http://schemas.microsoft.com/office/spreadsheetml/2009/9/main" objectType="Spin" dx="22" fmlaLink="config!$B$113" max="11" page="10" val="2"/>
</file>

<file path=xl/ctrlProps/ctrlProp8.xml><?xml version="1.0" encoding="utf-8"?>
<formControlPr xmlns="http://schemas.microsoft.com/office/spreadsheetml/2009/9/main" objectType="Spin" dx="22" fmlaLink="config!$B$119" max="55" min="5" page="10" val="5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ezEX47jeYxM" TargetMode="External"/><Relationship Id="rId2" Type="http://schemas.openxmlformats.org/officeDocument/2006/relationships/hyperlink" Target="#'Dashboard 1 - Geral'!A1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image" Target="../media/image2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luxodecaixa/" TargetMode="External"/><Relationship Id="rId2" Type="http://schemas.openxmlformats.org/officeDocument/2006/relationships/hyperlink" Target="#Cadastros!A1"/><Relationship Id="rId1" Type="http://schemas.openxmlformats.org/officeDocument/2006/relationships/hyperlink" Target="https://planilhatarefas.zeplanilha.com/" TargetMode="External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AJUDA!A1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AJUDA!A1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3</xdr:row>
      <xdr:rowOff>28575</xdr:rowOff>
    </xdr:from>
    <xdr:to>
      <xdr:col>16</xdr:col>
      <xdr:colOff>247650</xdr:colOff>
      <xdr:row>4</xdr:row>
      <xdr:rowOff>168762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2250" b="-12"/>
        <a:stretch/>
      </xdr:blipFill>
      <xdr:spPr>
        <a:xfrm>
          <a:off x="247651" y="809625"/>
          <a:ext cx="9344024" cy="330687"/>
        </a:xfrm>
        <a:prstGeom prst="rect">
          <a:avLst/>
        </a:prstGeom>
      </xdr:spPr>
    </xdr:pic>
    <xdr:clientData/>
  </xdr:twoCellAnchor>
  <xdr:twoCellAnchor>
    <xdr:from>
      <xdr:col>1</xdr:col>
      <xdr:colOff>38100</xdr:colOff>
      <xdr:row>23</xdr:row>
      <xdr:rowOff>123825</xdr:rowOff>
    </xdr:from>
    <xdr:to>
      <xdr:col>9</xdr:col>
      <xdr:colOff>276227</xdr:colOff>
      <xdr:row>26</xdr:row>
      <xdr:rowOff>9526</xdr:rowOff>
    </xdr:to>
    <xdr:grpSp>
      <xdr:nvGrpSpPr>
        <xdr:cNvPr id="3" name="Agrupar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238125" y="4714875"/>
          <a:ext cx="5114927" cy="457201"/>
          <a:chOff x="200023" y="3971924"/>
          <a:chExt cx="5114927" cy="457201"/>
        </a:xfrm>
      </xdr:grpSpPr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200023" y="3971924"/>
            <a:ext cx="5114927" cy="457201"/>
          </a:xfrm>
          <a:prstGeom prst="roundRect">
            <a:avLst/>
          </a:prstGeom>
          <a:solidFill>
            <a:srgbClr val="49C7A2">
              <a:alpha val="80000"/>
            </a:srgbClr>
          </a:solidFill>
          <a:ln>
            <a:solidFill>
              <a:schemeClr val="tx1">
                <a:lumMod val="65000"/>
                <a:lumOff val="35000"/>
                <a:alpha val="50000"/>
              </a:schemeClr>
            </a:solidFill>
          </a:ln>
          <a:effectLst>
            <a:outerShdw blurRad="63500" sx="102000" sy="102000" algn="ctr" rotWithShape="0">
              <a:prstClr val="black">
                <a:alpha val="3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/>
              </a:solidFill>
            </a:endParaRPr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22615" y="4029074"/>
            <a:ext cx="4869742" cy="3333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2000" b="1">
                <a:solidFill>
                  <a:schemeClr val="tx1"/>
                </a:solidFill>
              </a:rPr>
              <a:t>Já assisti</a:t>
            </a:r>
            <a:r>
              <a:rPr lang="pt-BR" sz="2000" b="1" baseline="0">
                <a:solidFill>
                  <a:schemeClr val="tx1"/>
                </a:solidFill>
              </a:rPr>
              <a:t> ao vídeo e quero acessar a planilha</a:t>
            </a:r>
            <a:endParaRPr lang="pt-BR" sz="2000" b="1">
              <a:solidFill>
                <a:schemeClr val="tx1"/>
              </a:solidFill>
            </a:endParaRPr>
          </a:p>
        </xdr:txBody>
      </xdr:sp>
    </xdr:grpSp>
    <xdr:clientData/>
  </xdr:twoCellAnchor>
  <xdr:twoCellAnchor editAs="oneCell">
    <xdr:from>
      <xdr:col>1</xdr:col>
      <xdr:colOff>28576</xdr:colOff>
      <xdr:row>7</xdr:row>
      <xdr:rowOff>36315</xdr:rowOff>
    </xdr:from>
    <xdr:to>
      <xdr:col>9</xdr:col>
      <xdr:colOff>209550</xdr:colOff>
      <xdr:row>22</xdr:row>
      <xdr:rowOff>23813</xdr:rowOff>
    </xdr:to>
    <xdr:pic>
      <xdr:nvPicPr>
        <xdr:cNvPr id="9" name="Imagem 8" descr="Gráfico, Gráfico de funil&#10;&#10;Descrição gerada automaticamente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1" y="1579365"/>
          <a:ext cx="5057774" cy="2844998"/>
        </a:xfrm>
        <a:prstGeom prst="rect">
          <a:avLst/>
        </a:prstGeom>
        <a:effectLst>
          <a:outerShdw blurRad="76200" dist="38100" dir="2700000" algn="tl" rotWithShape="0">
            <a:prstClr val="black">
              <a:alpha val="20000"/>
            </a:prstClr>
          </a:outerShdw>
        </a:effectLst>
      </xdr:spPr>
    </xdr:pic>
    <xdr:clientData/>
  </xdr:twoCellAnchor>
  <xdr:twoCellAnchor>
    <xdr:from>
      <xdr:col>9</xdr:col>
      <xdr:colOff>104776</xdr:colOff>
      <xdr:row>14</xdr:row>
      <xdr:rowOff>123825</xdr:rowOff>
    </xdr:from>
    <xdr:to>
      <xdr:col>9</xdr:col>
      <xdr:colOff>466726</xdr:colOff>
      <xdr:row>17</xdr:row>
      <xdr:rowOff>71119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schemeClr val="accent6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686094">
          <a:off x="5181601" y="3000375"/>
          <a:ext cx="361950" cy="5187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10</xdr:col>
      <xdr:colOff>504825</xdr:colOff>
      <xdr:row>16</xdr:row>
      <xdr:rowOff>38100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8100" y="790575"/>
          <a:ext cx="6562725" cy="2295525"/>
          <a:chOff x="1238250" y="1352550"/>
          <a:chExt cx="6562725" cy="2295525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pSpPr/>
        </xdr:nvGrpSpPr>
        <xdr:grpSpPr>
          <a:xfrm>
            <a:off x="1238250" y="1352550"/>
            <a:ext cx="6515100" cy="381000"/>
            <a:chOff x="361950" y="323850"/>
            <a:chExt cx="6515100" cy="381000"/>
          </a:xfrm>
        </xdr:grpSpPr>
        <xdr:cxnSp macro="">
          <xdr:nvCxnSpPr>
            <xdr:cNvPr id="6" name="Conector reto 5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CxnSpPr/>
          </xdr:nvCxnSpPr>
          <xdr:spPr>
            <a:xfrm>
              <a:off x="3886200" y="533286"/>
              <a:ext cx="29908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 txBox="1"/>
          </xdr:nvSpPr>
          <xdr:spPr>
            <a:xfrm>
              <a:off x="361950" y="323850"/>
              <a:ext cx="417195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800" b="1" i="0" u="none" strike="noStrike">
                  <a:solidFill>
                    <a:schemeClr val="accent1">
                      <a:lumMod val="75000"/>
                    </a:schemeClr>
                  </a:solidFill>
                  <a:latin typeface="Calibri"/>
                  <a:cs typeface="Calibri"/>
                </a:rPr>
                <a:t>Precisa de mais linhas para lançar?</a:t>
              </a:r>
            </a:p>
          </xdr:txBody>
        </xdr:sp>
      </xdr:grp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/>
        </xdr:nvSpPr>
        <xdr:spPr>
          <a:xfrm>
            <a:off x="1243012" y="1647824"/>
            <a:ext cx="6557963" cy="8096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A planilha suporta poucos cadastros, pois é uma versão demonstrativa. Para acessar a versão desbloqueada com possibilidade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de cadastro de 50 responsáveis e 15 setores</a:t>
            </a:r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, realize a compra através deste link no botão abaixo.</a:t>
            </a:r>
          </a:p>
        </xdr:txBody>
      </xdr:sp>
      <xdr:sp macro="" textlink="">
        <xdr:nvSpPr>
          <xdr:cNvPr id="5" name="CaixaDeTexto 4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1757363" y="3352799"/>
            <a:ext cx="3567112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ou acesse: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https://planilhatarefas.zeplanilha.com/</a:t>
            </a:r>
          </a:p>
        </xdr:txBody>
      </xdr:sp>
    </xdr:grpSp>
    <xdr:clientData/>
  </xdr:twoCellAnchor>
  <xdr:twoCellAnchor>
    <xdr:from>
      <xdr:col>1</xdr:col>
      <xdr:colOff>95249</xdr:colOff>
      <xdr:row>12</xdr:row>
      <xdr:rowOff>28575</xdr:rowOff>
    </xdr:from>
    <xdr:to>
      <xdr:col>6</xdr:col>
      <xdr:colOff>142874</xdr:colOff>
      <xdr:row>14</xdr:row>
      <xdr:rowOff>66675</xdr:rowOff>
    </xdr:to>
    <xdr:grpSp>
      <xdr:nvGrpSpPr>
        <xdr:cNvPr id="8" name="Agrupar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/>
      </xdr:nvGrpSpPr>
      <xdr:grpSpPr>
        <a:xfrm>
          <a:off x="704849" y="2314575"/>
          <a:ext cx="3095625" cy="419100"/>
          <a:chOff x="3048000" y="2857500"/>
          <a:chExt cx="2209800" cy="24765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/>
        </xdr:nvSpPr>
        <xdr:spPr>
          <a:xfrm>
            <a:off x="3048000" y="2857500"/>
            <a:ext cx="2209800" cy="247650"/>
          </a:xfrm>
          <a:prstGeom prst="roundRect">
            <a:avLst/>
          </a:prstGeom>
          <a:solidFill>
            <a:srgbClr val="29D1B5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/>
              </a:solidFill>
            </a:endParaRPr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3162299" y="2862263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400" b="1">
                <a:solidFill>
                  <a:schemeClr val="tx1"/>
                </a:solidFill>
              </a:rPr>
              <a:t>Comprar versão desbloqueada</a:t>
            </a:r>
          </a:p>
        </xdr:txBody>
      </xdr:sp>
    </xdr:grpSp>
    <xdr:clientData/>
  </xdr:twoCellAnchor>
  <xdr:twoCellAnchor>
    <xdr:from>
      <xdr:col>0</xdr:col>
      <xdr:colOff>95250</xdr:colOff>
      <xdr:row>21</xdr:row>
      <xdr:rowOff>161925</xdr:rowOff>
    </xdr:from>
    <xdr:to>
      <xdr:col>11</xdr:col>
      <xdr:colOff>95250</xdr:colOff>
      <xdr:row>29</xdr:row>
      <xdr:rowOff>114300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pSpPr/>
      </xdr:nvGrpSpPr>
      <xdr:grpSpPr>
        <a:xfrm>
          <a:off x="95250" y="4162425"/>
          <a:ext cx="6705600" cy="1476375"/>
          <a:chOff x="5781675" y="1123950"/>
          <a:chExt cx="6705600" cy="1476375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/>
        </xdr:nvSpPr>
        <xdr:spPr>
          <a:xfrm>
            <a:off x="5810250" y="1123950"/>
            <a:ext cx="6677025" cy="1476375"/>
          </a:xfrm>
          <a:prstGeom prst="roundRect">
            <a:avLst>
              <a:gd name="adj" fmla="val 5699"/>
            </a:avLst>
          </a:prstGeom>
          <a:solidFill>
            <a:srgbClr val="313758"/>
          </a:solidFill>
          <a:effectLst>
            <a:outerShdw blurRad="50800" dist="38100" dir="2700000" algn="tl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GrpSpPr/>
        </xdr:nvGrpSpPr>
        <xdr:grpSpPr>
          <a:xfrm>
            <a:off x="5781675" y="1152525"/>
            <a:ext cx="6543675" cy="1400175"/>
            <a:chOff x="57150" y="4572000"/>
            <a:chExt cx="6543675" cy="1400175"/>
          </a:xfrm>
        </xdr:grpSpPr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 txBox="1"/>
          </xdr:nvSpPr>
          <xdr:spPr>
            <a:xfrm>
              <a:off x="57150" y="4895849"/>
              <a:ext cx="6543675" cy="10763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100% desbloqueada. Você poderá editar tudo</a:t>
              </a:r>
              <a:r>
                <a:rPr lang="en-US" sz="1200" b="0" i="0" u="none" strike="noStrike" baseline="0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Inserir logotipo, alterar textos e fórmulas, etc.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Não 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é necessário fazer uma assinatura mensal. </a:t>
              </a:r>
              <a:r>
                <a:rPr lang="en-US" sz="1200" b="1" i="0" u="sng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Pagamento Único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O envio é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imediato após o pagamento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Nosso sistema é automatizado e irá enviar para seu email.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</a:t>
              </a:r>
              <a: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Você não deve utilizar em Google Drive / Google Sheets / Excel Online / Numbers / LibreOffice.</a:t>
              </a:r>
              <a:b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Vitalícia, portanto não expira. 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endParaRPr lang="en-US" sz="1200" b="0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 txBox="1"/>
          </xdr:nvSpPr>
          <xdr:spPr>
            <a:xfrm>
              <a:off x="104774" y="4572000"/>
              <a:ext cx="37052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cs typeface="Calibri"/>
                </a:rPr>
                <a:t>Resumo da Planilha Desbloqueada</a:t>
              </a:r>
            </a:p>
          </xdr:txBody>
        </xdr:sp>
      </xdr:grpSp>
    </xdr:grpSp>
    <xdr:clientData/>
  </xdr:twoCellAnchor>
  <xdr:twoCellAnchor>
    <xdr:from>
      <xdr:col>3</xdr:col>
      <xdr:colOff>28575</xdr:colOff>
      <xdr:row>0</xdr:row>
      <xdr:rowOff>190499</xdr:rowOff>
    </xdr:from>
    <xdr:to>
      <xdr:col>8</xdr:col>
      <xdr:colOff>219075</xdr:colOff>
      <xdr:row>2</xdr:row>
      <xdr:rowOff>161924</xdr:rowOff>
    </xdr:to>
    <xdr:grpSp>
      <xdr:nvGrpSpPr>
        <xdr:cNvPr id="16" name="Agrupar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pSpPr/>
      </xdr:nvGrpSpPr>
      <xdr:grpSpPr>
        <a:xfrm>
          <a:off x="1857375" y="190499"/>
          <a:ext cx="3238500" cy="352425"/>
          <a:chOff x="2709430" y="4109820"/>
          <a:chExt cx="2222876" cy="35242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SpPr/>
        </xdr:nvSpPr>
        <xdr:spPr>
          <a:xfrm>
            <a:off x="2709430" y="4109820"/>
            <a:ext cx="2222876" cy="352425"/>
          </a:xfrm>
          <a:prstGeom prst="roundRect">
            <a:avLst/>
          </a:prstGeom>
          <a:solidFill>
            <a:srgbClr val="313758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 txBox="1"/>
        </xdr:nvSpPr>
        <xdr:spPr>
          <a:xfrm>
            <a:off x="2823729" y="4166970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00" b="1">
                <a:solidFill>
                  <a:srgbClr val="FDD692"/>
                </a:solidFill>
              </a:rPr>
              <a:t>Clique aqui para retornar </a:t>
            </a:r>
          </a:p>
        </xdr:txBody>
      </xdr:sp>
    </xdr:grpSp>
    <xdr:clientData/>
  </xdr:twoCellAnchor>
  <xdr:twoCellAnchor>
    <xdr:from>
      <xdr:col>11</xdr:col>
      <xdr:colOff>323850</xdr:colOff>
      <xdr:row>3</xdr:row>
      <xdr:rowOff>85725</xdr:rowOff>
    </xdr:from>
    <xdr:to>
      <xdr:col>20</xdr:col>
      <xdr:colOff>171450</xdr:colOff>
      <xdr:row>6</xdr:row>
      <xdr:rowOff>114300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pSpPr/>
      </xdr:nvGrpSpPr>
      <xdr:grpSpPr>
        <a:xfrm>
          <a:off x="7029450" y="657225"/>
          <a:ext cx="5334000" cy="600075"/>
          <a:chOff x="1238250" y="1352550"/>
          <a:chExt cx="5334000" cy="600075"/>
        </a:xfrm>
      </xdr:grpSpPr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GrpSpPr/>
        </xdr:nvGrpSpPr>
        <xdr:grpSpPr>
          <a:xfrm>
            <a:off x="1238250" y="1352550"/>
            <a:ext cx="5334000" cy="381000"/>
            <a:chOff x="361950" y="323850"/>
            <a:chExt cx="5334000" cy="381000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00000000-0008-0000-0100-000016000000}"/>
                </a:ext>
              </a:extLst>
            </xdr:cNvPr>
            <xdr:cNvCxnSpPr/>
          </xdr:nvCxnSpPr>
          <xdr:spPr>
            <a:xfrm>
              <a:off x="4457700" y="533286"/>
              <a:ext cx="12382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00000000-0008-0000-0100-000017000000}"/>
                </a:ext>
              </a:extLst>
            </xdr:cNvPr>
            <xdr:cNvSpPr txBox="1"/>
          </xdr:nvSpPr>
          <xdr:spPr>
            <a:xfrm>
              <a:off x="361950" y="323850"/>
              <a:ext cx="45053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Na versão desbloqueada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 é possível inserir o logotipo?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SpPr txBox="1"/>
        </xdr:nvSpPr>
        <xdr:spPr>
          <a:xfrm>
            <a:off x="1243012" y="1647824"/>
            <a:ext cx="461486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A planilha é enviada 100% desbloqueada. 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pode editar tudo!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12</xdr:row>
      <xdr:rowOff>104775</xdr:rowOff>
    </xdr:from>
    <xdr:to>
      <xdr:col>20</xdr:col>
      <xdr:colOff>180975</xdr:colOff>
      <xdr:row>15</xdr:row>
      <xdr:rowOff>133350</xdr:rowOff>
    </xdr:to>
    <xdr:grpSp>
      <xdr:nvGrpSpPr>
        <xdr:cNvPr id="24" name="Agrupar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pSpPr/>
      </xdr:nvGrpSpPr>
      <xdr:grpSpPr>
        <a:xfrm>
          <a:off x="7029450" y="2390775"/>
          <a:ext cx="5343525" cy="600075"/>
          <a:chOff x="1238250" y="1352550"/>
          <a:chExt cx="5343525" cy="600075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0100-000019000000}"/>
              </a:ext>
            </a:extLst>
          </xdr:cNvPr>
          <xdr:cNvGrpSpPr/>
        </xdr:nvGrpSpPr>
        <xdr:grpSpPr>
          <a:xfrm>
            <a:off x="1238250" y="1352550"/>
            <a:ext cx="5343525" cy="381000"/>
            <a:chOff x="361950" y="323850"/>
            <a:chExt cx="5343525" cy="381000"/>
          </a:xfrm>
        </xdr:grpSpPr>
        <xdr:cxnSp macro="">
          <xdr:nvCxnSpPr>
            <xdr:cNvPr id="27" name="Conector reto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CxnSpPr/>
          </xdr:nvCxnSpPr>
          <xdr:spPr>
            <a:xfrm>
              <a:off x="2000250" y="533286"/>
              <a:ext cx="37052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8" name="CaixaDeTexto 27">
              <a:extLst>
                <a:ext uri="{FF2B5EF4-FFF2-40B4-BE49-F238E27FC236}">
                  <a16:creationId xmlns:a16="http://schemas.microsoft.com/office/drawing/2014/main" id="{00000000-0008-0000-0100-00001C000000}"/>
                </a:ext>
              </a:extLst>
            </xdr:cNvPr>
            <xdr:cNvSpPr txBox="1"/>
          </xdr:nvSpPr>
          <xdr:spPr>
            <a:xfrm>
              <a:off x="361950" y="323850"/>
              <a:ext cx="39909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Tem mensalidade?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00000000-0008-0000-0100-00001A000000}"/>
              </a:ext>
            </a:extLst>
          </xdr:cNvPr>
          <xdr:cNvSpPr txBox="1"/>
        </xdr:nvSpPr>
        <xdr:spPr>
          <a:xfrm>
            <a:off x="1243012" y="1647824"/>
            <a:ext cx="356711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Não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temos mensalidade. Pagamento único.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7</xdr:row>
      <xdr:rowOff>123825</xdr:rowOff>
    </xdr:from>
    <xdr:to>
      <xdr:col>20</xdr:col>
      <xdr:colOff>257175</xdr:colOff>
      <xdr:row>12</xdr:row>
      <xdr:rowOff>66675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GrpSpPr/>
      </xdr:nvGrpSpPr>
      <xdr:grpSpPr>
        <a:xfrm>
          <a:off x="7029450" y="1457325"/>
          <a:ext cx="5419725" cy="895350"/>
          <a:chOff x="1238250" y="1352550"/>
          <a:chExt cx="5419725" cy="895350"/>
        </a:xfrm>
      </xdr:grpSpPr>
      <xdr:grpSp>
        <xdr:nvGrpSpPr>
          <xdr:cNvPr id="30" name="Agrupar 29">
            <a:extLst>
              <a:ext uri="{FF2B5EF4-FFF2-40B4-BE49-F238E27FC236}">
                <a16:creationId xmlns:a16="http://schemas.microsoft.com/office/drawing/2014/main" id="{00000000-0008-0000-0100-00001E000000}"/>
              </a:ext>
            </a:extLst>
          </xdr:cNvPr>
          <xdr:cNvGrpSpPr/>
        </xdr:nvGrpSpPr>
        <xdr:grpSpPr>
          <a:xfrm>
            <a:off x="1238250" y="1352550"/>
            <a:ext cx="5372100" cy="381000"/>
            <a:chOff x="361950" y="323850"/>
            <a:chExt cx="5372100" cy="381000"/>
          </a:xfrm>
        </xdr:grpSpPr>
        <xdr:cxnSp macro="">
          <xdr:nvCxnSpPr>
            <xdr:cNvPr id="32" name="Conector reto 31">
              <a:extLst>
                <a:ext uri="{FF2B5EF4-FFF2-40B4-BE49-F238E27FC236}">
                  <a16:creationId xmlns:a16="http://schemas.microsoft.com/office/drawing/2014/main" id="{00000000-0008-0000-0100-000020000000}"/>
                </a:ext>
              </a:extLst>
            </xdr:cNvPr>
            <xdr:cNvCxnSpPr/>
          </xdr:nvCxnSpPr>
          <xdr:spPr>
            <a:xfrm>
              <a:off x="4800600" y="533286"/>
              <a:ext cx="9334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00000000-0008-0000-0100-000021000000}"/>
                </a:ext>
              </a:extLst>
            </xdr:cNvPr>
            <xdr:cNvSpPr txBox="1"/>
          </xdr:nvSpPr>
          <xdr:spPr>
            <a:xfrm>
              <a:off x="361950" y="323850"/>
              <a:ext cx="46958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Após o pagamento, em quanto tempo recebo a planilha?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1" name="CaixaDeTexto 30">
            <a:extLst>
              <a:ext uri="{FF2B5EF4-FFF2-40B4-BE49-F238E27FC236}">
                <a16:creationId xmlns:a16="http://schemas.microsoft.com/office/drawing/2014/main" id="{00000000-0008-0000-0100-00001F000000}"/>
              </a:ext>
            </a:extLst>
          </xdr:cNvPr>
          <xdr:cNvSpPr txBox="1"/>
        </xdr:nvSpPr>
        <xdr:spPr>
          <a:xfrm>
            <a:off x="1243012" y="1647824"/>
            <a:ext cx="5414963" cy="6000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recebe imediatamente a planilha após a confirmação do pagamento. Nosso sistema é automizado.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16</xdr:row>
      <xdr:rowOff>142875</xdr:rowOff>
    </xdr:from>
    <xdr:to>
      <xdr:col>21</xdr:col>
      <xdr:colOff>157162</xdr:colOff>
      <xdr:row>19</xdr:row>
      <xdr:rowOff>171450</xdr:rowOff>
    </xdr:to>
    <xdr:grpSp>
      <xdr:nvGrpSpPr>
        <xdr:cNvPr id="34" name="Agrupar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GrpSpPr/>
      </xdr:nvGrpSpPr>
      <xdr:grpSpPr>
        <a:xfrm>
          <a:off x="7029450" y="3190875"/>
          <a:ext cx="5929312" cy="600075"/>
          <a:chOff x="1238250" y="1352550"/>
          <a:chExt cx="5929312" cy="600075"/>
        </a:xfrm>
      </xdr:grpSpPr>
      <xdr:grpSp>
        <xdr:nvGrpSpPr>
          <xdr:cNvPr id="35" name="Agrupar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GrpSpPr/>
        </xdr:nvGrpSpPr>
        <xdr:grpSpPr>
          <a:xfrm>
            <a:off x="1238250" y="1352550"/>
            <a:ext cx="5929312" cy="381000"/>
            <a:chOff x="361950" y="323850"/>
            <a:chExt cx="5929312" cy="381000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0100-000025000000}"/>
                </a:ext>
              </a:extLst>
            </xdr:cNvPr>
            <xdr:cNvCxnSpPr/>
          </xdr:nvCxnSpPr>
          <xdr:spPr>
            <a:xfrm>
              <a:off x="2124075" y="533286"/>
              <a:ext cx="36290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0000000-0008-0000-0100-000026000000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Posso pagar por PIX?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1243013" y="1647824"/>
            <a:ext cx="5195888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Temos também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Cartão de Crédito.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21</xdr:row>
      <xdr:rowOff>38100</xdr:rowOff>
    </xdr:from>
    <xdr:to>
      <xdr:col>20</xdr:col>
      <xdr:colOff>180975</xdr:colOff>
      <xdr:row>27</xdr:row>
      <xdr:rowOff>177689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GrpSpPr/>
      </xdr:nvGrpSpPr>
      <xdr:grpSpPr>
        <a:xfrm>
          <a:off x="7029450" y="4038600"/>
          <a:ext cx="5343525" cy="1282589"/>
          <a:chOff x="9525" y="4781550"/>
          <a:chExt cx="5343525" cy="1282589"/>
        </a:xfrm>
      </xdr:grpSpPr>
      <xdr:grpSp>
        <xdr:nvGrpSpPr>
          <xdr:cNvPr id="40" name="Agrupar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GrpSpPr/>
        </xdr:nvGrpSpPr>
        <xdr:grpSpPr>
          <a:xfrm>
            <a:off x="9525" y="4781550"/>
            <a:ext cx="5343525" cy="381000"/>
            <a:chOff x="361950" y="323850"/>
            <a:chExt cx="5343525" cy="381000"/>
          </a:xfrm>
        </xdr:grpSpPr>
        <xdr:cxnSp macro="">
          <xdr:nvCxnSpPr>
            <xdr:cNvPr id="47" name="Conector reto 46">
              <a:extLst>
                <a:ext uri="{FF2B5EF4-FFF2-40B4-BE49-F238E27FC236}">
                  <a16:creationId xmlns:a16="http://schemas.microsoft.com/office/drawing/2014/main" id="{00000000-0008-0000-0100-00002F000000}"/>
                </a:ext>
              </a:extLst>
            </xdr:cNvPr>
            <xdr:cNvCxnSpPr/>
          </xdr:nvCxnSpPr>
          <xdr:spPr>
            <a:xfrm>
              <a:off x="4438650" y="533286"/>
              <a:ext cx="12668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8" name="CaixaDeTexto 47">
              <a:extLst>
                <a:ext uri="{FF2B5EF4-FFF2-40B4-BE49-F238E27FC236}">
                  <a16:creationId xmlns:a16="http://schemas.microsoft.com/office/drawing/2014/main" id="{00000000-0008-0000-0100-000030000000}"/>
                </a:ext>
              </a:extLst>
            </xdr:cNvPr>
            <xdr:cNvSpPr txBox="1"/>
          </xdr:nvSpPr>
          <xdr:spPr>
            <a:xfrm>
              <a:off x="361950" y="323850"/>
              <a:ext cx="41052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Há alguma planilha profissional para </a:t>
              </a:r>
              <a:r>
                <a:rPr lang="en-US" sz="1400" b="1" i="0" u="sng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Fluxo de Caixa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grpSp>
        <xdr:nvGrpSpPr>
          <xdr:cNvPr id="41" name="Agrupar 40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GrpSpPr/>
        </xdr:nvGrpSpPr>
        <xdr:grpSpPr>
          <a:xfrm>
            <a:off x="19050" y="5248275"/>
            <a:ext cx="3705225" cy="815864"/>
            <a:chOff x="1840059" y="190500"/>
            <a:chExt cx="3705225" cy="815864"/>
          </a:xfrm>
        </xdr:grpSpPr>
        <xdr:sp macro="" textlink="">
          <xdr:nvSpPr>
            <xdr:cNvPr id="42" name="CaixaDeTexto 41">
              <a:extLst>
                <a:ext uri="{FF2B5EF4-FFF2-40B4-BE49-F238E27FC236}">
                  <a16:creationId xmlns:a16="http://schemas.microsoft.com/office/drawing/2014/main" id="{00000000-0008-0000-0100-00002A000000}"/>
                </a:ext>
              </a:extLst>
            </xdr:cNvPr>
            <xdr:cNvSpPr txBox="1"/>
          </xdr:nvSpPr>
          <xdr:spPr>
            <a:xfrm>
              <a:off x="3126798" y="238123"/>
              <a:ext cx="2418486" cy="256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BR" sz="1050" b="1">
                  <a:solidFill>
                    <a:srgbClr val="4F46BB"/>
                  </a:solidFill>
                </a:rPr>
                <a:t>Sim.</a:t>
              </a:r>
              <a:r>
                <a:rPr lang="pt-BR" sz="1050" b="1" baseline="0">
                  <a:solidFill>
                    <a:srgbClr val="4F46BB"/>
                  </a:solidFill>
                </a:rPr>
                <a:t> Conheça clicando no botão abaixo.</a:t>
              </a:r>
              <a:endParaRPr lang="pt-BR" sz="1050" b="1">
                <a:solidFill>
                  <a:srgbClr val="4F46BB"/>
                </a:solidFill>
              </a:endParaRPr>
            </a:p>
          </xdr:txBody>
        </xdr:sp>
        <xdr:grpSp>
          <xdr:nvGrpSpPr>
            <xdr:cNvPr id="43" name="Agrupar 42">
              <a:extLst>
                <a:ext uri="{FF2B5EF4-FFF2-40B4-BE49-F238E27FC236}">
                  <a16:creationId xmlns:a16="http://schemas.microsoft.com/office/drawing/2014/main" id="{00000000-0008-0000-0100-00002B000000}"/>
                </a:ext>
              </a:extLst>
            </xdr:cNvPr>
            <xdr:cNvGrpSpPr/>
          </xdr:nvGrpSpPr>
          <xdr:grpSpPr>
            <a:xfrm>
              <a:off x="3239414" y="485774"/>
              <a:ext cx="2156020" cy="304799"/>
              <a:chOff x="12160055" y="2638426"/>
              <a:chExt cx="2156020" cy="304799"/>
            </a:xfrm>
          </xdr:grpSpPr>
          <xdr:sp macro="" textlink="">
            <xdr:nvSpPr>
              <xdr:cNvPr id="45" name="Retângulo: Cantos Arredondados 44">
                <a:extLst>
                  <a:ext uri="{FF2B5EF4-FFF2-40B4-BE49-F238E27FC236}">
                    <a16:creationId xmlns:a16="http://schemas.microsoft.com/office/drawing/2014/main" id="{00000000-0008-0000-0100-00002D000000}"/>
                  </a:ext>
                </a:extLst>
              </xdr:cNvPr>
              <xdr:cNvSpPr/>
            </xdr:nvSpPr>
            <xdr:spPr>
              <a:xfrm>
                <a:off x="12160055" y="2638426"/>
                <a:ext cx="2156020" cy="304799"/>
              </a:xfrm>
              <a:prstGeom prst="roundRect">
                <a:avLst>
                  <a:gd name="adj" fmla="val 14706"/>
                </a:avLst>
              </a:prstGeom>
              <a:solidFill>
                <a:srgbClr val="FA896B"/>
              </a:solidFill>
              <a:ln>
                <a:solidFill>
                  <a:schemeClr val="accent2">
                    <a:lumMod val="75000"/>
                  </a:schemeClr>
                </a:solidFill>
              </a:ln>
              <a:effectLst>
                <a:outerShdw blurRad="63500" sx="102000" sy="102000" algn="ctr" rotWithShape="0">
                  <a:schemeClr val="tx1">
                    <a:lumMod val="65000"/>
                    <a:lumOff val="35000"/>
                    <a:alpha val="20000"/>
                  </a:scheme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  <xdr:sp macro="" textlink="">
            <xdr:nvSpPr>
              <xdr:cNvPr id="46" name="CaixaDeTexto 45">
                <a:extLst>
                  <a:ext uri="{FF2B5EF4-FFF2-40B4-BE49-F238E27FC236}">
                    <a16:creationId xmlns:a16="http://schemas.microsoft.com/office/drawing/2014/main" id="{00000000-0008-0000-0100-00002E000000}"/>
                  </a:ext>
                </a:extLst>
              </xdr:cNvPr>
              <xdr:cNvSpPr txBox="1"/>
            </xdr:nvSpPr>
            <xdr:spPr>
              <a:xfrm>
                <a:off x="12204602" y="2671982"/>
                <a:ext cx="2066926" cy="25673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ctr">
                <a:noAutofit/>
              </a:bodyPr>
              <a:lstStyle/>
              <a:p>
                <a:pPr algn="ctr"/>
                <a:r>
                  <a:rPr lang="pt-BR" sz="1050" b="1">
                    <a:solidFill>
                      <a:schemeClr val="bg1"/>
                    </a:solidFill>
                  </a:rPr>
                  <a:t>Conheça</a:t>
                </a:r>
                <a:r>
                  <a:rPr lang="pt-BR" sz="1050" b="1" baseline="0">
                    <a:solidFill>
                      <a:schemeClr val="bg1"/>
                    </a:solidFill>
                  </a:rPr>
                  <a:t> nossa versão Profissional</a:t>
                </a:r>
                <a:endParaRPr lang="pt-BR" sz="1050" b="1">
                  <a:solidFill>
                    <a:schemeClr val="bg1"/>
                  </a:solidFill>
                </a:endParaRPr>
              </a:p>
            </xdr:txBody>
          </xdr:sp>
        </xdr:grpSp>
        <xdr:pic>
          <xdr:nvPicPr>
            <xdr:cNvPr id="44" name="Imagem 43">
              <a:extLst>
                <a:ext uri="{FF2B5EF4-FFF2-40B4-BE49-F238E27FC236}">
                  <a16:creationId xmlns:a16="http://schemas.microsoft.com/office/drawing/2014/main" id="{00000000-0008-0000-0100-00002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840059" y="190500"/>
              <a:ext cx="1409700" cy="815864"/>
            </a:xfrm>
            <a:prstGeom prst="rect">
              <a:avLst/>
            </a:prstGeom>
          </xdr:spPr>
        </xdr:pic>
      </xdr:grpSp>
    </xdr:grpSp>
    <xdr:clientData/>
  </xdr:twoCellAnchor>
  <xdr:twoCellAnchor>
    <xdr:from>
      <xdr:col>11</xdr:col>
      <xdr:colOff>323850</xdr:colOff>
      <xdr:row>1</xdr:row>
      <xdr:rowOff>28575</xdr:rowOff>
    </xdr:from>
    <xdr:to>
      <xdr:col>18</xdr:col>
      <xdr:colOff>228600</xdr:colOff>
      <xdr:row>3</xdr:row>
      <xdr:rowOff>28575</xdr:rowOff>
    </xdr:to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7029450" y="219075"/>
          <a:ext cx="417195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2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rPr>
            <a:t>Perguntas Frequentes</a:t>
          </a:r>
        </a:p>
      </xdr:txBody>
    </xdr:sp>
    <xdr:clientData/>
  </xdr:twoCellAnchor>
  <xdr:twoCellAnchor>
    <xdr:from>
      <xdr:col>7</xdr:col>
      <xdr:colOff>409576</xdr:colOff>
      <xdr:row>8</xdr:row>
      <xdr:rowOff>114299</xdr:rowOff>
    </xdr:from>
    <xdr:to>
      <xdr:col>10</xdr:col>
      <xdr:colOff>581025</xdr:colOff>
      <xdr:row>19</xdr:row>
      <xdr:rowOff>19050</xdr:rowOff>
    </xdr:to>
    <xdr:sp macro="" textlink="">
      <xdr:nvSpPr>
        <xdr:cNvPr id="50" name="Retângulo: Cantos Arredondados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/>
      </xdr:nvSpPr>
      <xdr:spPr>
        <a:xfrm>
          <a:off x="4676776" y="1638299"/>
          <a:ext cx="2000249" cy="2000251"/>
        </a:xfrm>
        <a:prstGeom prst="roundRect">
          <a:avLst>
            <a:gd name="adj" fmla="val 3062"/>
          </a:avLst>
        </a:prstGeom>
        <a:solidFill>
          <a:srgbClr val="29D1B5">
            <a:alpha val="80000"/>
          </a:srgbClr>
        </a:solidFill>
        <a:ln>
          <a:solidFill>
            <a:schemeClr val="tx1">
              <a:lumMod val="65000"/>
              <a:lumOff val="35000"/>
            </a:schemeClr>
          </a:solidFill>
        </a:ln>
        <a:effectLst>
          <a:outerShdw blurRad="63500" sx="102000" sy="102000" algn="ctr" rotWithShape="0">
            <a:prstClr val="black">
              <a:alpha val="7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561975</xdr:colOff>
      <xdr:row>19</xdr:row>
      <xdr:rowOff>38100</xdr:rowOff>
    </xdr:from>
    <xdr:to>
      <xdr:col>10</xdr:col>
      <xdr:colOff>414337</xdr:colOff>
      <xdr:row>20</xdr:row>
      <xdr:rowOff>142876</xdr:rowOff>
    </xdr:to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4829175" y="3657600"/>
          <a:ext cx="1681162" cy="2952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rPr>
            <a:t>ou compre via QR Code</a:t>
          </a:r>
          <a:endParaRPr lang="en-US" sz="1200" b="1" i="0" u="none" strike="noStrike">
            <a:solidFill>
              <a:schemeClr val="tx1">
                <a:lumMod val="65000"/>
                <a:lumOff val="35000"/>
              </a:schemeClr>
            </a:solidFill>
            <a:latin typeface="+mn-lt"/>
            <a:cs typeface="Calibri"/>
          </a:endParaRPr>
        </a:p>
      </xdr:txBody>
    </xdr:sp>
    <xdr:clientData/>
  </xdr:twoCellAnchor>
  <xdr:twoCellAnchor editAs="oneCell">
    <xdr:from>
      <xdr:col>7</xdr:col>
      <xdr:colOff>533400</xdr:colOff>
      <xdr:row>9</xdr:row>
      <xdr:rowOff>38100</xdr:rowOff>
    </xdr:from>
    <xdr:to>
      <xdr:col>10</xdr:col>
      <xdr:colOff>418886</xdr:colOff>
      <xdr:row>18</xdr:row>
      <xdr:rowOff>47410</xdr:rowOff>
    </xdr:to>
    <xdr:pic>
      <xdr:nvPicPr>
        <xdr:cNvPr id="54" name="Imagem 53" descr="Código QR&#10;&#10;Descrição gerada automaticamente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800600" y="1752600"/>
          <a:ext cx="1714286" cy="17238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85725</xdr:rowOff>
    </xdr:from>
    <xdr:ext cx="3766038" cy="373671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33350" y="85725"/>
          <a:ext cx="3766038" cy="373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en-US" sz="20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rPr>
            <a:t>Cadastros</a:t>
          </a:r>
        </a:p>
      </xdr:txBody>
    </xdr:sp>
    <xdr:clientData/>
  </xdr:oneCellAnchor>
  <xdr:twoCellAnchor>
    <xdr:from>
      <xdr:col>0</xdr:col>
      <xdr:colOff>219074</xdr:colOff>
      <xdr:row>7</xdr:row>
      <xdr:rowOff>9524</xdr:rowOff>
    </xdr:from>
    <xdr:to>
      <xdr:col>2</xdr:col>
      <xdr:colOff>238125</xdr:colOff>
      <xdr:row>55</xdr:row>
      <xdr:rowOff>28575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19074" y="1428749"/>
          <a:ext cx="2514601" cy="9163051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428624</xdr:colOff>
      <xdr:row>6</xdr:row>
      <xdr:rowOff>19051</xdr:rowOff>
    </xdr:from>
    <xdr:to>
      <xdr:col>5</xdr:col>
      <xdr:colOff>161925</xdr:colOff>
      <xdr:row>20</xdr:row>
      <xdr:rowOff>123825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924174" y="1247776"/>
          <a:ext cx="2514601" cy="2771774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400049</xdr:colOff>
      <xdr:row>7</xdr:row>
      <xdr:rowOff>9524</xdr:rowOff>
    </xdr:from>
    <xdr:to>
      <xdr:col>8</xdr:col>
      <xdr:colOff>133350</xdr:colOff>
      <xdr:row>53</xdr:row>
      <xdr:rowOff>180975</xdr:rowOff>
    </xdr:to>
    <xdr:sp macro="" textlink="">
      <xdr:nvSpPr>
        <xdr:cNvPr id="6" name="Retângul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5676899" y="1428749"/>
          <a:ext cx="2514601" cy="8934451"/>
        </a:xfrm>
        <a:prstGeom prst="rect">
          <a:avLst/>
        </a:prstGeom>
        <a:solidFill>
          <a:srgbClr val="FFFFF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495301</xdr:colOff>
      <xdr:row>7</xdr:row>
      <xdr:rowOff>114301</xdr:rowOff>
    </xdr:from>
    <xdr:to>
      <xdr:col>1</xdr:col>
      <xdr:colOff>1845437</xdr:colOff>
      <xdr:row>9</xdr:row>
      <xdr:rowOff>38101</xdr:rowOff>
    </xdr:to>
    <xdr:grpSp>
      <xdr:nvGrpSpPr>
        <xdr:cNvPr id="12" name="Agrupar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pSpPr/>
      </xdr:nvGrpSpPr>
      <xdr:grpSpPr>
        <a:xfrm>
          <a:off x="495301" y="1533526"/>
          <a:ext cx="1940686" cy="304800"/>
          <a:chOff x="495301" y="1533526"/>
          <a:chExt cx="1940686" cy="304800"/>
        </a:xfrm>
      </xdr:grpSpPr>
      <xdr:sp macro="" textlink="">
        <xdr:nvSpPr>
          <xdr:cNvPr id="9" name="CaixaDeTexto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 txBox="1"/>
        </xdr:nvSpPr>
        <xdr:spPr>
          <a:xfrm>
            <a:off x="866775" y="1561501"/>
            <a:ext cx="1569212" cy="248851"/>
          </a:xfrm>
          <a:prstGeom prst="rect">
            <a:avLst/>
          </a:prstGeom>
          <a:solidFill>
            <a:srgbClr val="F64B57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lang="pt-BR" sz="1000" b="1">
                <a:solidFill>
                  <a:schemeClr val="bg1">
                    <a:lumMod val="95000"/>
                  </a:schemeClr>
                </a:solidFill>
              </a:rPr>
              <a:t>planilha de demonstração</a:t>
            </a:r>
          </a:p>
        </xdr:txBody>
      </xdr:sp>
      <xdr:pic>
        <xdr:nvPicPr>
          <xdr:cNvPr id="11" name="Imagem 10" descr="Ícone&#10;&#10;Descrição gerada automaticamente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5301" y="1533526"/>
            <a:ext cx="304800" cy="304800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190501</xdr:colOff>
      <xdr:row>6</xdr:row>
      <xdr:rowOff>85726</xdr:rowOff>
    </xdr:from>
    <xdr:to>
      <xdr:col>4</xdr:col>
      <xdr:colOff>1778762</xdr:colOff>
      <xdr:row>8</xdr:row>
      <xdr:rowOff>9526</xdr:rowOff>
    </xdr:to>
    <xdr:grpSp>
      <xdr:nvGrpSpPr>
        <xdr:cNvPr id="13" name="Agrupar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pSpPr/>
      </xdr:nvGrpSpPr>
      <xdr:grpSpPr>
        <a:xfrm>
          <a:off x="3209926" y="1314451"/>
          <a:ext cx="1940686" cy="304800"/>
          <a:chOff x="495301" y="1533526"/>
          <a:chExt cx="1940686" cy="304800"/>
        </a:xfrm>
      </xdr:grpSpPr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>
          <a:xfrm>
            <a:off x="866775" y="1561501"/>
            <a:ext cx="1569212" cy="248851"/>
          </a:xfrm>
          <a:prstGeom prst="rect">
            <a:avLst/>
          </a:prstGeom>
          <a:solidFill>
            <a:srgbClr val="F64B57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lang="pt-BR" sz="1000" b="1">
                <a:solidFill>
                  <a:schemeClr val="bg1">
                    <a:lumMod val="95000"/>
                  </a:schemeClr>
                </a:solidFill>
              </a:rPr>
              <a:t>planilha de demonstração</a:t>
            </a:r>
          </a:p>
        </xdr:txBody>
      </xdr:sp>
      <xdr:pic>
        <xdr:nvPicPr>
          <xdr:cNvPr id="15" name="Imagem 14" descr="Ícone&#10;&#10;Descrição gerada automaticamente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5301" y="1533526"/>
            <a:ext cx="304800" cy="304800"/>
          </a:xfrm>
          <a:prstGeom prst="rect">
            <a:avLst/>
          </a:prstGeom>
        </xdr:spPr>
      </xdr:pic>
    </xdr:grpSp>
    <xdr:clientData/>
  </xdr:twoCellAnchor>
  <xdr:oneCellAnchor>
    <xdr:from>
      <xdr:col>0</xdr:col>
      <xdr:colOff>556304</xdr:colOff>
      <xdr:row>9</xdr:row>
      <xdr:rowOff>57150</xdr:rowOff>
    </xdr:from>
    <xdr:ext cx="1745158" cy="436786"/>
    <xdr:sp macro="" textlink="">
      <xdr:nvSpPr>
        <xdr:cNvPr id="16" name="CaixaDeText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556304" y="1857375"/>
          <a:ext cx="1745158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BR" sz="1100" b="1">
              <a:solidFill>
                <a:srgbClr val="5959E7"/>
              </a:solidFill>
            </a:rPr>
            <a:t>Precisa</a:t>
          </a:r>
          <a:r>
            <a:rPr lang="pt-BR" sz="1100" b="1" baseline="0">
              <a:solidFill>
                <a:srgbClr val="5959E7"/>
              </a:solidFill>
            </a:rPr>
            <a:t> de mais cadastros?</a:t>
          </a:r>
        </a:p>
        <a:p>
          <a:pPr algn="ctr"/>
          <a:r>
            <a:rPr lang="pt-BR" sz="1100" b="1" baseline="0">
              <a:solidFill>
                <a:srgbClr val="5959E7"/>
              </a:solidFill>
            </a:rPr>
            <a:t>Clique aqui</a:t>
          </a:r>
          <a:endParaRPr lang="pt-BR" sz="1100" b="1">
            <a:solidFill>
              <a:srgbClr val="5959E7"/>
            </a:solidFill>
          </a:endParaRPr>
        </a:p>
      </xdr:txBody>
    </xdr:sp>
    <xdr:clientData/>
  </xdr:oneCellAnchor>
  <xdr:oneCellAnchor>
    <xdr:from>
      <xdr:col>3</xdr:col>
      <xdr:colOff>337229</xdr:colOff>
      <xdr:row>8</xdr:row>
      <xdr:rowOff>28575</xdr:rowOff>
    </xdr:from>
    <xdr:ext cx="1745158" cy="436786"/>
    <xdr:sp macro="" textlink="">
      <xdr:nvSpPr>
        <xdr:cNvPr id="17" name="CaixaDeText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3356654" y="1638300"/>
          <a:ext cx="1745158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BR" sz="1100" b="1">
              <a:solidFill>
                <a:srgbClr val="5959E7"/>
              </a:solidFill>
            </a:rPr>
            <a:t>Precisa</a:t>
          </a:r>
          <a:r>
            <a:rPr lang="pt-BR" sz="1100" b="1" baseline="0">
              <a:solidFill>
                <a:srgbClr val="5959E7"/>
              </a:solidFill>
            </a:rPr>
            <a:t> de mais cadastros?</a:t>
          </a:r>
        </a:p>
        <a:p>
          <a:pPr algn="ctr"/>
          <a:r>
            <a:rPr lang="pt-BR" sz="1100" b="1" baseline="0">
              <a:solidFill>
                <a:srgbClr val="5959E7"/>
              </a:solidFill>
            </a:rPr>
            <a:t>Clique aqui</a:t>
          </a:r>
          <a:endParaRPr lang="pt-BR" sz="1100" b="1">
            <a:solidFill>
              <a:srgbClr val="5959E7"/>
            </a:solidFill>
          </a:endParaRPr>
        </a:p>
      </xdr:txBody>
    </xdr:sp>
    <xdr:clientData/>
  </xdr:oneCellAnchor>
  <xdr:twoCellAnchor>
    <xdr:from>
      <xdr:col>6</xdr:col>
      <xdr:colOff>238126</xdr:colOff>
      <xdr:row>7</xdr:row>
      <xdr:rowOff>123826</xdr:rowOff>
    </xdr:from>
    <xdr:to>
      <xdr:col>7</xdr:col>
      <xdr:colOff>1826387</xdr:colOff>
      <xdr:row>9</xdr:row>
      <xdr:rowOff>47626</xdr:rowOff>
    </xdr:to>
    <xdr:grpSp>
      <xdr:nvGrpSpPr>
        <xdr:cNvPr id="18" name="Agrupa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pSpPr/>
      </xdr:nvGrpSpPr>
      <xdr:grpSpPr>
        <a:xfrm>
          <a:off x="6038851" y="1543051"/>
          <a:ext cx="1940686" cy="304800"/>
          <a:chOff x="495301" y="1533526"/>
          <a:chExt cx="1940686" cy="304800"/>
        </a:xfrm>
      </xdr:grpSpPr>
      <xdr:sp macro="" textlink="">
        <xdr:nvSpPr>
          <xdr:cNvPr id="19" name="CaixaDeTexto 18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>
          <a:xfrm>
            <a:off x="866775" y="1561501"/>
            <a:ext cx="1569212" cy="248851"/>
          </a:xfrm>
          <a:prstGeom prst="rect">
            <a:avLst/>
          </a:prstGeom>
          <a:solidFill>
            <a:srgbClr val="F64B57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spAutoFit/>
          </a:bodyPr>
          <a:lstStyle/>
          <a:p>
            <a:pPr algn="ctr"/>
            <a:r>
              <a:rPr lang="pt-BR" sz="1000" b="1">
                <a:solidFill>
                  <a:schemeClr val="bg1">
                    <a:lumMod val="95000"/>
                  </a:schemeClr>
                </a:solidFill>
              </a:rPr>
              <a:t>planilha de demonstração</a:t>
            </a:r>
          </a:p>
        </xdr:txBody>
      </xdr:sp>
      <xdr:pic>
        <xdr:nvPicPr>
          <xdr:cNvPr id="20" name="Imagem 19" descr="Ícone&#10;&#10;Descrição gerada automaticamente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5301" y="1533526"/>
            <a:ext cx="304800" cy="304800"/>
          </a:xfrm>
          <a:prstGeom prst="rect">
            <a:avLst/>
          </a:prstGeom>
        </xdr:spPr>
      </xdr:pic>
    </xdr:grpSp>
    <xdr:clientData/>
  </xdr:twoCellAnchor>
  <xdr:oneCellAnchor>
    <xdr:from>
      <xdr:col>7</xdr:col>
      <xdr:colOff>345682</xdr:colOff>
      <xdr:row>9</xdr:row>
      <xdr:rowOff>28575</xdr:rowOff>
    </xdr:from>
    <xdr:ext cx="1091901" cy="436786"/>
    <xdr:sp macro="" textlink="">
      <xdr:nvSpPr>
        <xdr:cNvPr id="21" name="CaixaDeText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/>
      </xdr:nvSpPr>
      <xdr:spPr>
        <a:xfrm>
          <a:off x="6498832" y="1828800"/>
          <a:ext cx="109190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pt-BR" sz="1100" b="1">
              <a:solidFill>
                <a:srgbClr val="5959E7"/>
              </a:solidFill>
            </a:rPr>
            <a:t>Precisa alterar?</a:t>
          </a:r>
        </a:p>
        <a:p>
          <a:pPr algn="ctr"/>
          <a:r>
            <a:rPr lang="pt-BR" sz="1100" b="1">
              <a:solidFill>
                <a:srgbClr val="5959E7"/>
              </a:solidFill>
            </a:rPr>
            <a:t>Clique</a:t>
          </a:r>
          <a:r>
            <a:rPr lang="pt-BR" sz="1100" b="1" baseline="0">
              <a:solidFill>
                <a:srgbClr val="5959E7"/>
              </a:solidFill>
            </a:rPr>
            <a:t> aqui</a:t>
          </a:r>
          <a:endParaRPr lang="pt-BR" sz="1100" b="1">
            <a:solidFill>
              <a:srgbClr val="5959E7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542927</xdr:colOff>
      <xdr:row>11</xdr:row>
      <xdr:rowOff>114991</xdr:rowOff>
    </xdr:from>
    <xdr:to>
      <xdr:col>5</xdr:col>
      <xdr:colOff>590550</xdr:colOff>
      <xdr:row>14</xdr:row>
      <xdr:rowOff>102724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pSpPr/>
      </xdr:nvGrpSpPr>
      <xdr:grpSpPr>
        <a:xfrm>
          <a:off x="542927" y="2467666"/>
          <a:ext cx="9277348" cy="530658"/>
          <a:chOff x="514352" y="2458141"/>
          <a:chExt cx="9277348" cy="530658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GrpSpPr/>
        </xdr:nvGrpSpPr>
        <xdr:grpSpPr>
          <a:xfrm>
            <a:off x="514352" y="2571752"/>
            <a:ext cx="1940686" cy="304800"/>
            <a:chOff x="495301" y="1533526"/>
            <a:chExt cx="1940686" cy="304800"/>
          </a:xfrm>
        </xdr:grpSpPr>
        <xdr:sp macro="" textlink="">
          <xdr:nvSpPr>
            <xdr:cNvPr id="4" name="CaixaDeTexto 3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SpPr txBox="1"/>
          </xdr:nvSpPr>
          <xdr:spPr>
            <a:xfrm>
              <a:off x="866775" y="1561501"/>
              <a:ext cx="1569212" cy="248851"/>
            </a:xfrm>
            <a:prstGeom prst="rect">
              <a:avLst/>
            </a:prstGeom>
            <a:solidFill>
              <a:srgbClr val="F64B57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spAutoFit/>
            </a:bodyPr>
            <a:lstStyle/>
            <a:p>
              <a:pPr algn="ctr"/>
              <a:r>
                <a:rPr lang="pt-BR" sz="1000" b="1">
                  <a:solidFill>
                    <a:schemeClr val="bg1">
                      <a:lumMod val="95000"/>
                    </a:schemeClr>
                  </a:solidFill>
                </a:rPr>
                <a:t>planilha de demonstração</a:t>
              </a:r>
            </a:p>
          </xdr:txBody>
        </xdr:sp>
        <xdr:pic>
          <xdr:nvPicPr>
            <xdr:cNvPr id="5" name="Imagem 4" descr="Ícone&#10;&#10;Descrição gerada automaticamente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495301" y="1533526"/>
              <a:ext cx="304800" cy="304800"/>
            </a:xfrm>
            <a:prstGeom prst="rect">
              <a:avLst/>
            </a:prstGeom>
          </xdr:spPr>
        </xdr:pic>
      </xdr:grpSp>
      <xdr:sp macro="" textlink="">
        <xdr:nvSpPr>
          <xdr:cNvPr id="6" name="CaixaDeTexto 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 txBox="1"/>
        </xdr:nvSpPr>
        <xdr:spPr>
          <a:xfrm>
            <a:off x="2514599" y="2458141"/>
            <a:ext cx="7277101" cy="5306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l"/>
            <a:r>
              <a:rPr lang="pt-BR" sz="2800" b="1">
                <a:solidFill>
                  <a:srgbClr val="5959E7"/>
                </a:solidFill>
              </a:rPr>
              <a:t>Quer criar mais tarefas? Clique aqui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263769</xdr:colOff>
      <xdr:row>2</xdr:row>
      <xdr:rowOff>80596</xdr:rowOff>
    </xdr:from>
    <xdr:ext cx="184731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912577" y="461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1</xdr:col>
      <xdr:colOff>21982</xdr:colOff>
      <xdr:row>0</xdr:row>
      <xdr:rowOff>43963</xdr:rowOff>
    </xdr:from>
    <xdr:ext cx="3245826" cy="212479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124559" y="43963"/>
          <a:ext cx="3245826" cy="21247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0">
              <a:solidFill>
                <a:schemeClr val="bg1">
                  <a:lumMod val="50000"/>
                </a:schemeClr>
              </a:solidFill>
            </a:rPr>
            <a:t>Controle de Tarefas 2.0 / Dashboard 1</a:t>
          </a:r>
        </a:p>
      </xdr:txBody>
    </xdr:sp>
    <xdr:clientData/>
  </xdr:oneCellAnchor>
  <xdr:twoCellAnchor>
    <xdr:from>
      <xdr:col>1</xdr:col>
      <xdr:colOff>36635</xdr:colOff>
      <xdr:row>1</xdr:row>
      <xdr:rowOff>69364</xdr:rowOff>
    </xdr:from>
    <xdr:to>
      <xdr:col>12</xdr:col>
      <xdr:colOff>478970</xdr:colOff>
      <xdr:row>3</xdr:row>
      <xdr:rowOff>62035</xdr:rowOff>
    </xdr:to>
    <xdr:sp macro="" textlink="config!B11">
      <xdr:nvSpPr>
        <xdr:cNvPr id="3" name="CaixaDe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144585" y="259864"/>
          <a:ext cx="7147935" cy="373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fld id="{4C74D8DB-D563-432B-A07B-5318A80B2607}" type="TxLink">
            <a:rPr lang="en-US" sz="20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rPr>
            <a:pPr/>
            <a:t>Análise Geral do ano de 2024</a:t>
          </a:fld>
          <a:endParaRPr lang="en-US" sz="4800" b="1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>
    <xdr:from>
      <xdr:col>12</xdr:col>
      <xdr:colOff>534866</xdr:colOff>
      <xdr:row>1</xdr:row>
      <xdr:rowOff>155222</xdr:rowOff>
    </xdr:from>
    <xdr:to>
      <xdr:col>13</xdr:col>
      <xdr:colOff>465266</xdr:colOff>
      <xdr:row>2</xdr:row>
      <xdr:rowOff>180722</xdr:rowOff>
    </xdr:to>
    <xdr:sp macro="" textlink="config!B12">
      <xdr:nvSpPr>
        <xdr:cNvPr id="4" name="CaixaDeTex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348416" y="345722"/>
          <a:ext cx="540000" cy="216000"/>
        </a:xfrm>
        <a:prstGeom prst="roundRect">
          <a:avLst>
            <a:gd name="adj" fmla="val 16668"/>
          </a:avLst>
        </a:prstGeom>
        <a:solidFill>
          <a:schemeClr val="tx1">
            <a:lumMod val="65000"/>
            <a:lumOff val="3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fld id="{34CBE29F-D381-4D60-8C68-F4C027E12334}" type="TxLink">
            <a:rPr lang="en-US" sz="1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2024</a:t>
          </a:fld>
          <a:endParaRPr lang="en-US" sz="6000" b="1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514350</xdr:colOff>
          <xdr:row>1</xdr:row>
          <xdr:rowOff>133350</xdr:rowOff>
        </xdr:from>
        <xdr:to>
          <xdr:col>14</xdr:col>
          <xdr:colOff>57150</xdr:colOff>
          <xdr:row>2</xdr:row>
          <xdr:rowOff>171450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4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</xdr:col>
      <xdr:colOff>36634</xdr:colOff>
      <xdr:row>3</xdr:row>
      <xdr:rowOff>150935</xdr:rowOff>
    </xdr:from>
    <xdr:to>
      <xdr:col>14</xdr:col>
      <xdr:colOff>80596</xdr:colOff>
      <xdr:row>15</xdr:row>
      <xdr:rowOff>24072</xdr:rowOff>
    </xdr:to>
    <xdr:grpSp>
      <xdr:nvGrpSpPr>
        <xdr:cNvPr id="28" name="Agrupa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pSpPr/>
      </xdr:nvGrpSpPr>
      <xdr:grpSpPr>
        <a:xfrm>
          <a:off x="144584" y="722435"/>
          <a:ext cx="7968762" cy="2159137"/>
          <a:chOff x="144584" y="722435"/>
          <a:chExt cx="7968762" cy="2159137"/>
        </a:xfrm>
      </xdr:grpSpPr>
      <xdr:sp macro="" textlink="">
        <xdr:nvSpPr>
          <xdr:cNvPr id="2" name="Retângulo: Cantos Arredondados 1">
            <a:extLst>
              <a:ext uri="{FF2B5EF4-FFF2-40B4-BE49-F238E27FC236}">
                <a16:creationId xmlns:a16="http://schemas.microsoft.com/office/drawing/2014/main" id="{00000000-0008-0000-0400-000002000000}"/>
              </a:ext>
            </a:extLst>
          </xdr:cNvPr>
          <xdr:cNvSpPr/>
        </xdr:nvSpPr>
        <xdr:spPr>
          <a:xfrm>
            <a:off x="192942" y="722435"/>
            <a:ext cx="7920404" cy="2142391"/>
          </a:xfrm>
          <a:prstGeom prst="roundRect">
            <a:avLst>
              <a:gd name="adj" fmla="val 2052"/>
            </a:avLst>
          </a:prstGeom>
          <a:solidFill>
            <a:sysClr val="window" lastClr="FFFFFF"/>
          </a:solidFill>
          <a:ln>
            <a:noFill/>
          </a:ln>
          <a:effectLst>
            <a:outerShdw blurRad="127000" sx="101000" sy="101000" algn="ctr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CaixaDeTexto 10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SpPr txBox="1"/>
        </xdr:nvSpPr>
        <xdr:spPr>
          <a:xfrm>
            <a:off x="144584" y="2698399"/>
            <a:ext cx="1458058" cy="18317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r>
              <a:rPr lang="en-US" sz="600" b="0">
                <a:solidFill>
                  <a:schemeClr val="bg1">
                    <a:lumMod val="65000"/>
                  </a:schemeClr>
                </a:solidFill>
              </a:rPr>
              <a:t>baseado na data de criação da tarefa</a:t>
            </a:r>
          </a:p>
        </xdr:txBody>
      </xdr:sp>
      <xdr:graphicFrame macro="">
        <xdr:nvGraphicFramePr>
          <xdr:cNvPr id="6" name="Gráfico 5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GraphicFramePr>
            <a:graphicFrameLocks/>
          </xdr:cNvGraphicFramePr>
        </xdr:nvGraphicFramePr>
        <xdr:xfrm>
          <a:off x="210527" y="776653"/>
          <a:ext cx="7822223" cy="20808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</xdr:col>
      <xdr:colOff>92628</xdr:colOff>
      <xdr:row>15</xdr:row>
      <xdr:rowOff>162762</xdr:rowOff>
    </xdr:from>
    <xdr:to>
      <xdr:col>2</xdr:col>
      <xdr:colOff>384493</xdr:colOff>
      <xdr:row>20</xdr:row>
      <xdr:rowOff>133453</xdr:rowOff>
    </xdr:to>
    <xdr:grpSp>
      <xdr:nvGrpSpPr>
        <xdr:cNvPr id="44" name="Agrupar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GrpSpPr/>
      </xdr:nvGrpSpPr>
      <xdr:grpSpPr>
        <a:xfrm>
          <a:off x="200578" y="3020262"/>
          <a:ext cx="901465" cy="923191"/>
          <a:chOff x="3143250" y="3619500"/>
          <a:chExt cx="900000" cy="923191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SpPr/>
        </xdr:nvSpPr>
        <xdr:spPr>
          <a:xfrm>
            <a:off x="3143250" y="3619500"/>
            <a:ext cx="900000" cy="923191"/>
          </a:xfrm>
          <a:prstGeom prst="roundRect">
            <a:avLst>
              <a:gd name="adj" fmla="val 3929"/>
            </a:avLst>
          </a:prstGeom>
          <a:solidFill>
            <a:schemeClr val="bg1"/>
          </a:solidFill>
          <a:ln>
            <a:noFill/>
          </a:ln>
          <a:effectLst>
            <a:outerShdw blurRad="127000" sx="101000" sy="101000" algn="ctr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/>
          </a:p>
        </xdr:txBody>
      </xdr: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>
          <a:xfrm>
            <a:off x="3193933" y="4154366"/>
            <a:ext cx="798635" cy="34436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ea typeface="Calibri"/>
                <a:cs typeface="Calibri"/>
              </a:rPr>
              <a:t>Tarefas</a:t>
            </a:r>
          </a:p>
          <a:p>
            <a:pPr algn="ctr"/>
            <a:r>
              <a:rPr lang="en-US" sz="800" b="1" i="0" u="none" strike="noStrike">
                <a:solidFill>
                  <a:schemeClr val="bg1">
                    <a:lumMod val="65000"/>
                  </a:schemeClr>
                </a:solidFill>
                <a:latin typeface="Calibri"/>
                <a:ea typeface="Calibri"/>
                <a:cs typeface="Calibri"/>
              </a:rPr>
              <a:t>Criadas</a:t>
            </a:r>
          </a:p>
        </xdr:txBody>
      </xdr:sp>
      <xdr:sp macro="" textlink="config!B29">
        <xdr:nvSpPr>
          <xdr:cNvPr id="43" name="CaixaDeTexto 42">
            <a:extLst>
              <a:ext uri="{FF2B5EF4-FFF2-40B4-BE49-F238E27FC236}">
                <a16:creationId xmlns:a16="http://schemas.microsoft.com/office/drawing/2014/main" id="{00000000-0008-0000-0400-00002B000000}"/>
              </a:ext>
            </a:extLst>
          </xdr:cNvPr>
          <xdr:cNvSpPr txBox="1"/>
        </xdr:nvSpPr>
        <xdr:spPr>
          <a:xfrm>
            <a:off x="3153635" y="3722078"/>
            <a:ext cx="879231" cy="43228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C30C6A59-CA03-4D9E-90EB-E6B13E10B3EB}" type="TxLink">
              <a:rPr lang="en-US" sz="24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rPr>
              <a:pPr algn="ctr"/>
              <a:t>1</a:t>
            </a:fld>
            <a:endParaRPr lang="en-US" sz="18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</xdr:grpSp>
    <xdr:clientData/>
  </xdr:twoCellAnchor>
  <xdr:twoCellAnchor>
    <xdr:from>
      <xdr:col>3</xdr:col>
      <xdr:colOff>340182</xdr:colOff>
      <xdr:row>15</xdr:row>
      <xdr:rowOff>176892</xdr:rowOff>
    </xdr:from>
    <xdr:to>
      <xdr:col>6</xdr:col>
      <xdr:colOff>557892</xdr:colOff>
      <xdr:row>20</xdr:row>
      <xdr:rowOff>136072</xdr:rowOff>
    </xdr:to>
    <xdr:sp macro="" textlink="">
      <xdr:nvSpPr>
        <xdr:cNvPr id="52" name="Retângulo: Cantos Arredondados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/>
      </xdr:nvSpPr>
      <xdr:spPr>
        <a:xfrm>
          <a:off x="1666878" y="3034392"/>
          <a:ext cx="2054675" cy="911680"/>
        </a:xfrm>
        <a:prstGeom prst="roundRect">
          <a:avLst>
            <a:gd name="adj" fmla="val 4727"/>
          </a:avLst>
        </a:prstGeom>
        <a:noFill/>
        <a:ln>
          <a:solidFill>
            <a:srgbClr val="29D1B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559242</xdr:colOff>
      <xdr:row>15</xdr:row>
      <xdr:rowOff>169566</xdr:rowOff>
    </xdr:from>
    <xdr:to>
      <xdr:col>4</xdr:col>
      <xdr:colOff>242973</xdr:colOff>
      <xdr:row>20</xdr:row>
      <xdr:rowOff>140257</xdr:rowOff>
    </xdr:to>
    <xdr:sp macro="" textlink="">
      <xdr:nvSpPr>
        <xdr:cNvPr id="21" name="Retângulo: Cantos Arredondados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/>
      </xdr:nvSpPr>
      <xdr:spPr>
        <a:xfrm>
          <a:off x="1273617" y="3027066"/>
          <a:ext cx="908374" cy="923191"/>
        </a:xfrm>
        <a:prstGeom prst="roundRect">
          <a:avLst>
            <a:gd name="adj" fmla="val 4702"/>
          </a:avLst>
        </a:prstGeom>
        <a:solidFill>
          <a:srgbClr val="29D1B5"/>
        </a:solidFill>
        <a:ln>
          <a:noFill/>
        </a:ln>
        <a:effectLst>
          <a:outerShdw blurRad="127000" sx="101000" sy="101000" algn="ctr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/>
        </a:p>
      </xdr:txBody>
    </xdr:sp>
    <xdr:clientData/>
  </xdr:twoCellAnchor>
  <xdr:twoCellAnchor>
    <xdr:from>
      <xdr:col>3</xdr:col>
      <xdr:colOff>5471</xdr:colOff>
      <xdr:row>18</xdr:row>
      <xdr:rowOff>30878</xdr:rowOff>
    </xdr:from>
    <xdr:to>
      <xdr:col>4</xdr:col>
      <xdr:colOff>184425</xdr:colOff>
      <xdr:row>19</xdr:row>
      <xdr:rowOff>184743</xdr:rowOff>
    </xdr:to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1332167" y="3459878"/>
          <a:ext cx="791276" cy="3443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en-US" sz="8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t>Tarefas Finalizadas</a:t>
          </a:r>
        </a:p>
      </xdr:txBody>
    </xdr:sp>
    <xdr:clientData/>
  </xdr:twoCellAnchor>
  <xdr:twoCellAnchor>
    <xdr:from>
      <xdr:col>2</xdr:col>
      <xdr:colOff>569724</xdr:colOff>
      <xdr:row>15</xdr:row>
      <xdr:rowOff>190499</xdr:rowOff>
    </xdr:from>
    <xdr:to>
      <xdr:col>4</xdr:col>
      <xdr:colOff>232493</xdr:colOff>
      <xdr:row>18</xdr:row>
      <xdr:rowOff>51288</xdr:rowOff>
    </xdr:to>
    <xdr:sp macro="" textlink="config!N19">
      <xdr:nvSpPr>
        <xdr:cNvPr id="34" name="CaixaDeTexto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/>
      </xdr:nvSpPr>
      <xdr:spPr>
        <a:xfrm>
          <a:off x="1284099" y="3047999"/>
          <a:ext cx="887412" cy="432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3E74A944-CF52-420D-BCAF-72E6DDBADF2D}" type="TxLink">
            <a:rPr lang="en-US" sz="24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1</a:t>
          </a:fld>
          <a:endParaRPr lang="en-US" sz="2400" b="1" i="0" u="none" strike="noStrike">
            <a:solidFill>
              <a:schemeClr val="bg1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4</xdr:col>
      <xdr:colOff>285756</xdr:colOff>
      <xdr:row>16</xdr:row>
      <xdr:rowOff>142875</xdr:rowOff>
    </xdr:from>
    <xdr:to>
      <xdr:col>6</xdr:col>
      <xdr:colOff>585111</xdr:colOff>
      <xdr:row>20</xdr:row>
      <xdr:rowOff>113626</xdr:rowOff>
    </xdr:to>
    <xdr:graphicFrame macro="">
      <xdr:nvGraphicFramePr>
        <xdr:cNvPr id="50" name="Gráfico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115661</xdr:colOff>
      <xdr:row>19</xdr:row>
      <xdr:rowOff>129270</xdr:rowOff>
    </xdr:from>
    <xdr:to>
      <xdr:col>4</xdr:col>
      <xdr:colOff>54429</xdr:colOff>
      <xdr:row>20</xdr:row>
      <xdr:rowOff>136073</xdr:rowOff>
    </xdr:to>
    <xdr:sp macro="" textlink="config!O19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/>
      </xdr:nvSpPr>
      <xdr:spPr>
        <a:xfrm>
          <a:off x="1442357" y="3748770"/>
          <a:ext cx="551090" cy="197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4200475B-5EB1-4927-80D4-3421FA2BBC5E}" type="TxLink">
            <a:rPr lang="en-US" sz="9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100%</a:t>
          </a:fld>
          <a:endParaRPr lang="en-US" sz="700" b="1" i="0" u="none" strike="noStrike">
            <a:solidFill>
              <a:schemeClr val="bg1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8</xdr:col>
      <xdr:colOff>63952</xdr:colOff>
      <xdr:row>16</xdr:row>
      <xdr:rowOff>2266</xdr:rowOff>
    </xdr:from>
    <xdr:to>
      <xdr:col>14</xdr:col>
      <xdr:colOff>81643</xdr:colOff>
      <xdr:row>20</xdr:row>
      <xdr:rowOff>140266</xdr:rowOff>
    </xdr:to>
    <xdr:sp macro="" textlink="">
      <xdr:nvSpPr>
        <xdr:cNvPr id="53" name="Retângulo: Cantos Arredondados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/>
      </xdr:nvSpPr>
      <xdr:spPr>
        <a:xfrm>
          <a:off x="4439102" y="3050266"/>
          <a:ext cx="3675291" cy="900000"/>
        </a:xfrm>
        <a:prstGeom prst="roundRect">
          <a:avLst>
            <a:gd name="adj" fmla="val 5473"/>
          </a:avLst>
        </a:prstGeom>
        <a:noFill/>
        <a:ln>
          <a:solidFill>
            <a:srgbClr val="F64B57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126539</xdr:colOff>
      <xdr:row>15</xdr:row>
      <xdr:rowOff>176368</xdr:rowOff>
    </xdr:from>
    <xdr:to>
      <xdr:col>8</xdr:col>
      <xdr:colOff>422591</xdr:colOff>
      <xdr:row>20</xdr:row>
      <xdr:rowOff>147059</xdr:rowOff>
    </xdr:to>
    <xdr:sp macro="" textlink="">
      <xdr:nvSpPr>
        <xdr:cNvPr id="12" name="Retângulo: Cantos Arredondados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3892089" y="3033868"/>
          <a:ext cx="905652" cy="923191"/>
        </a:xfrm>
        <a:prstGeom prst="roundRect">
          <a:avLst>
            <a:gd name="adj" fmla="val 4702"/>
          </a:avLst>
        </a:prstGeom>
        <a:solidFill>
          <a:srgbClr val="F64B57"/>
        </a:solidFill>
        <a:ln>
          <a:noFill/>
        </a:ln>
        <a:effectLst>
          <a:outerShdw blurRad="127000" sx="101000" sy="101000" algn="ctr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/>
        </a:p>
      </xdr:txBody>
    </xdr:sp>
    <xdr:clientData/>
  </xdr:twoCellAnchor>
  <xdr:twoCellAnchor>
    <xdr:from>
      <xdr:col>7</xdr:col>
      <xdr:colOff>162903</xdr:colOff>
      <xdr:row>18</xdr:row>
      <xdr:rowOff>30878</xdr:rowOff>
    </xdr:from>
    <xdr:to>
      <xdr:col>8</xdr:col>
      <xdr:colOff>386227</xdr:colOff>
      <xdr:row>19</xdr:row>
      <xdr:rowOff>184743</xdr:rowOff>
    </xdr:to>
    <xdr:sp macro="" textlink="">
      <xdr:nvSpPr>
        <xdr:cNvPr id="32" name="CaixaDeTexto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/>
      </xdr:nvSpPr>
      <xdr:spPr>
        <a:xfrm>
          <a:off x="3938885" y="3459878"/>
          <a:ext cx="835646" cy="3443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t>Tarefas</a:t>
          </a:r>
          <a:r>
            <a:rPr lang="en-US" sz="800" b="1" i="0" u="none" strike="noStrike" baseline="0">
              <a:solidFill>
                <a:schemeClr val="bg1"/>
              </a:solidFill>
              <a:latin typeface="Calibri"/>
              <a:ea typeface="Calibri"/>
              <a:cs typeface="Calibri"/>
            </a:rPr>
            <a:t> Pendentes</a:t>
          </a:r>
          <a:endParaRPr lang="en-US" sz="800" b="1" i="0" u="none" strike="noStrike">
            <a:solidFill>
              <a:schemeClr val="bg1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7</xdr:col>
      <xdr:colOff>137021</xdr:colOff>
      <xdr:row>16</xdr:row>
      <xdr:rowOff>6801</xdr:rowOff>
    </xdr:from>
    <xdr:to>
      <xdr:col>8</xdr:col>
      <xdr:colOff>412111</xdr:colOff>
      <xdr:row>18</xdr:row>
      <xdr:rowOff>58090</xdr:rowOff>
    </xdr:to>
    <xdr:sp macro="" textlink="config!N20">
      <xdr:nvSpPr>
        <xdr:cNvPr id="35" name="CaixaDeTexto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3913003" y="3054801"/>
          <a:ext cx="887412" cy="432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6F8A45FE-BD6F-496A-8B79-216E38B876E1}" type="TxLink">
            <a:rPr lang="en-US" sz="24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0</a:t>
          </a:fld>
          <a:endParaRPr lang="en-US" sz="2400" b="1" i="0" u="none" strike="noStrike">
            <a:solidFill>
              <a:schemeClr val="bg1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8</xdr:col>
      <xdr:colOff>469451</xdr:colOff>
      <xdr:row>16</xdr:row>
      <xdr:rowOff>102053</xdr:rowOff>
    </xdr:from>
    <xdr:to>
      <xdr:col>11</xdr:col>
      <xdr:colOff>155287</xdr:colOff>
      <xdr:row>20</xdr:row>
      <xdr:rowOff>127228</xdr:rowOff>
    </xdr:to>
    <xdr:graphicFrame macro="">
      <xdr:nvGraphicFramePr>
        <xdr:cNvPr id="51" name="Gráfico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299354</xdr:colOff>
      <xdr:row>19</xdr:row>
      <xdr:rowOff>129270</xdr:rowOff>
    </xdr:from>
    <xdr:to>
      <xdr:col>8</xdr:col>
      <xdr:colOff>238122</xdr:colOff>
      <xdr:row>20</xdr:row>
      <xdr:rowOff>136073</xdr:rowOff>
    </xdr:to>
    <xdr:sp macro="" textlink="config!O20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/>
      </xdr:nvSpPr>
      <xdr:spPr>
        <a:xfrm>
          <a:off x="4075336" y="3748770"/>
          <a:ext cx="551090" cy="197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BF5F4F4B-FDD0-4739-8546-095289AC8629}" type="TxLink">
            <a:rPr lang="en-US" sz="9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0%</a:t>
          </a:fld>
          <a:endParaRPr lang="en-US" sz="900" b="1" i="0" u="none" strike="noStrike">
            <a:solidFill>
              <a:schemeClr val="bg1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4</xdr:col>
      <xdr:colOff>336777</xdr:colOff>
      <xdr:row>15</xdr:row>
      <xdr:rowOff>163286</xdr:rowOff>
    </xdr:from>
    <xdr:to>
      <xdr:col>6</xdr:col>
      <xdr:colOff>398011</xdr:colOff>
      <xdr:row>17</xdr:row>
      <xdr:rowOff>34019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2275795" y="3020786"/>
          <a:ext cx="1285877" cy="2517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0" i="0" u="none" strike="noStrike">
              <a:solidFill>
                <a:schemeClr val="tx1">
                  <a:lumMod val="50000"/>
                  <a:lumOff val="50000"/>
                </a:schemeClr>
              </a:solidFill>
              <a:latin typeface="Calibri"/>
              <a:ea typeface="Calibri"/>
              <a:cs typeface="Calibri"/>
            </a:rPr>
            <a:t>Finalizadas por Prioridade</a:t>
          </a:r>
        </a:p>
      </xdr:txBody>
    </xdr:sp>
    <xdr:clientData/>
  </xdr:twoCellAnchor>
  <xdr:twoCellAnchor>
    <xdr:from>
      <xdr:col>8</xdr:col>
      <xdr:colOff>506265</xdr:colOff>
      <xdr:row>15</xdr:row>
      <xdr:rowOff>170090</xdr:rowOff>
    </xdr:from>
    <xdr:to>
      <xdr:col>10</xdr:col>
      <xdr:colOff>567500</xdr:colOff>
      <xdr:row>17</xdr:row>
      <xdr:rowOff>40823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/>
      </xdr:nvSpPr>
      <xdr:spPr>
        <a:xfrm>
          <a:off x="4894569" y="3027590"/>
          <a:ext cx="1285877" cy="2517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0" i="0" u="none" strike="noStrike">
              <a:solidFill>
                <a:schemeClr val="tx1">
                  <a:lumMod val="50000"/>
                  <a:lumOff val="50000"/>
                </a:schemeClr>
              </a:solidFill>
              <a:latin typeface="Calibri"/>
              <a:ea typeface="Calibri"/>
              <a:cs typeface="Calibri"/>
            </a:rPr>
            <a:t>Pendentes por Prioridade</a:t>
          </a:r>
        </a:p>
      </xdr:txBody>
    </xdr:sp>
    <xdr:clientData/>
  </xdr:twoCellAnchor>
  <xdr:twoCellAnchor>
    <xdr:from>
      <xdr:col>11</xdr:col>
      <xdr:colOff>318487</xdr:colOff>
      <xdr:row>15</xdr:row>
      <xdr:rowOff>170090</xdr:rowOff>
    </xdr:from>
    <xdr:to>
      <xdr:col>13</xdr:col>
      <xdr:colOff>544285</xdr:colOff>
      <xdr:row>17</xdr:row>
      <xdr:rowOff>40823</xdr:rowOff>
    </xdr:to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6543755" y="3027590"/>
          <a:ext cx="1450441" cy="2517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0" i="0" u="none" strike="noStrike">
              <a:solidFill>
                <a:schemeClr val="tx1">
                  <a:lumMod val="50000"/>
                  <a:lumOff val="50000"/>
                </a:schemeClr>
              </a:solidFill>
              <a:latin typeface="Calibri"/>
              <a:ea typeface="Calibri"/>
              <a:cs typeface="Calibri"/>
            </a:rPr>
            <a:t>Pendentes por Data Prevista</a:t>
          </a:r>
        </a:p>
      </xdr:txBody>
    </xdr:sp>
    <xdr:clientData/>
  </xdr:twoCellAnchor>
  <xdr:twoCellAnchor>
    <xdr:from>
      <xdr:col>11</xdr:col>
      <xdr:colOff>197304</xdr:colOff>
      <xdr:row>16</xdr:row>
      <xdr:rowOff>108857</xdr:rowOff>
    </xdr:from>
    <xdr:to>
      <xdr:col>13</xdr:col>
      <xdr:colOff>495461</xdr:colOff>
      <xdr:row>20</xdr:row>
      <xdr:rowOff>134032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114300</xdr:colOff>
      <xdr:row>3</xdr:row>
      <xdr:rowOff>57150</xdr:rowOff>
    </xdr:from>
    <xdr:to>
      <xdr:col>14</xdr:col>
      <xdr:colOff>76200</xdr:colOff>
      <xdr:row>3</xdr:row>
      <xdr:rowOff>57150</xdr:rowOff>
    </xdr:to>
    <xdr:cxnSp macro="">
      <xdr:nvCxnSpPr>
        <xdr:cNvPr id="37" name="Conector reto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CxnSpPr/>
      </xdr:nvCxnSpPr>
      <xdr:spPr>
        <a:xfrm>
          <a:off x="222250" y="628650"/>
          <a:ext cx="7886700" cy="0"/>
        </a:xfrm>
        <a:prstGeom prst="line">
          <a:avLst/>
        </a:prstGeom>
        <a:ln>
          <a:solidFill>
            <a:schemeClr val="bg1">
              <a:lumMod val="50000"/>
              <a:alpha val="3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260350</xdr:colOff>
      <xdr:row>8</xdr:row>
      <xdr:rowOff>285750</xdr:rowOff>
    </xdr:from>
    <xdr:to>
      <xdr:col>13</xdr:col>
      <xdr:colOff>546850</xdr:colOff>
      <xdr:row>12</xdr:row>
      <xdr:rowOff>114300</xdr:rowOff>
    </xdr:to>
    <xdr:sp macro="" textlink="">
      <xdr:nvSpPr>
        <xdr:cNvPr id="12317" name="Retângulo: Cantos Arredondados 12316">
          <a:extLst>
            <a:ext uri="{FF2B5EF4-FFF2-40B4-BE49-F238E27FC236}">
              <a16:creationId xmlns:a16="http://schemas.microsoft.com/office/drawing/2014/main" id="{00000000-0008-0000-0500-00001D300000}"/>
            </a:ext>
          </a:extLst>
        </xdr:cNvPr>
        <xdr:cNvSpPr/>
      </xdr:nvSpPr>
      <xdr:spPr>
        <a:xfrm>
          <a:off x="4775200" y="2228850"/>
          <a:ext cx="3334500" cy="1428750"/>
        </a:xfrm>
        <a:prstGeom prst="roundRect">
          <a:avLst>
            <a:gd name="adj" fmla="val 2285"/>
          </a:avLst>
        </a:prstGeom>
        <a:solidFill>
          <a:srgbClr val="F64B57"/>
        </a:solidFill>
        <a:ln>
          <a:noFill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/>
        </a:p>
      </xdr:txBody>
    </xdr:sp>
    <xdr:clientData/>
  </xdr:twoCellAnchor>
  <xdr:oneCellAnchor>
    <xdr:from>
      <xdr:col>5</xdr:col>
      <xdr:colOff>263769</xdr:colOff>
      <xdr:row>2</xdr:row>
      <xdr:rowOff>80596</xdr:rowOff>
    </xdr:from>
    <xdr:ext cx="184731" cy="264560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3416544" y="461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twoCellAnchor editAs="absolute">
    <xdr:from>
      <xdr:col>0</xdr:col>
      <xdr:colOff>129932</xdr:colOff>
      <xdr:row>0</xdr:row>
      <xdr:rowOff>43963</xdr:rowOff>
    </xdr:from>
    <xdr:to>
      <xdr:col>6</xdr:col>
      <xdr:colOff>80108</xdr:colOff>
      <xdr:row>1</xdr:row>
      <xdr:rowOff>65942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26757" y="43963"/>
          <a:ext cx="3245826" cy="21247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0">
              <a:solidFill>
                <a:schemeClr val="bg1">
                  <a:lumMod val="50000"/>
                </a:schemeClr>
              </a:solidFill>
            </a:rPr>
            <a:t>Controle de Tarefas 2.0 / Dashboard 2</a:t>
          </a:r>
        </a:p>
      </xdr:txBody>
    </xdr:sp>
    <xdr:clientData/>
  </xdr:twoCellAnchor>
  <xdr:twoCellAnchor>
    <xdr:from>
      <xdr:col>10</xdr:col>
      <xdr:colOff>368300</xdr:colOff>
      <xdr:row>1</xdr:row>
      <xdr:rowOff>118994</xdr:rowOff>
    </xdr:from>
    <xdr:to>
      <xdr:col>13</xdr:col>
      <xdr:colOff>504581</xdr:colOff>
      <xdr:row>2</xdr:row>
      <xdr:rowOff>165569</xdr:rowOff>
    </xdr:to>
    <xdr:grpSp>
      <xdr:nvGrpSpPr>
        <xdr:cNvPr id="46" name="Agrupa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GrpSpPr/>
      </xdr:nvGrpSpPr>
      <xdr:grpSpPr>
        <a:xfrm>
          <a:off x="6102350" y="309494"/>
          <a:ext cx="1965081" cy="237075"/>
          <a:chOff x="6146800" y="404744"/>
          <a:chExt cx="1965081" cy="237075"/>
        </a:xfrm>
      </xdr:grpSpPr>
      <xdr:sp macro="" textlink="config!B43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>
          <a:xfrm>
            <a:off x="7393355" y="425819"/>
            <a:ext cx="540000" cy="216000"/>
          </a:xfrm>
          <a:prstGeom prst="roundRect">
            <a:avLst>
              <a:gd name="adj" fmla="val 16668"/>
            </a:avLst>
          </a:prstGeom>
          <a:solidFill>
            <a:schemeClr val="tx1">
              <a:lumMod val="65000"/>
              <a:lumOff val="35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93722AED-B201-4CAF-9343-DCA1A5EA0753}" type="TxLink">
              <a:rPr lang="en-US" sz="10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2024</a:t>
            </a:fld>
            <a:endParaRPr lang="en-US" sz="1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2290" name="Spinner 2" hidden="1">
                <a:extLst>
                  <a:ext uri="{63B3BB69-23CF-44E3-9099-C40C66FF867C}">
                    <a14:compatExt spid="_x0000_s12290"/>
                  </a:ext>
                  <a:ext uri="{FF2B5EF4-FFF2-40B4-BE49-F238E27FC236}">
                    <a16:creationId xmlns:a16="http://schemas.microsoft.com/office/drawing/2014/main" id="{00000000-0008-0000-0500-000002300000}"/>
                  </a:ext>
                </a:extLst>
              </xdr:cNvPr>
              <xdr:cNvSpPr/>
            </xdr:nvSpPr>
            <xdr:spPr bwMode="auto">
              <a:xfrm>
                <a:off x="7960946" y="413169"/>
                <a:ext cx="150935" cy="2286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  <xdr:sp macro="" textlink="config!B46">
        <xdr:nvSpPr>
          <xdr:cNvPr id="30" name="CaixaDeTexto 29">
            <a:extLst>
              <a:ext uri="{FF2B5EF4-FFF2-40B4-BE49-F238E27FC236}">
                <a16:creationId xmlns:a16="http://schemas.microsoft.com/office/drawing/2014/main" id="{00000000-0008-0000-0500-00001E000000}"/>
              </a:ext>
            </a:extLst>
          </xdr:cNvPr>
          <xdr:cNvSpPr txBox="1"/>
        </xdr:nvSpPr>
        <xdr:spPr>
          <a:xfrm>
            <a:off x="6146800" y="417394"/>
            <a:ext cx="894624" cy="216000"/>
          </a:xfrm>
          <a:prstGeom prst="roundRect">
            <a:avLst>
              <a:gd name="adj" fmla="val 16668"/>
            </a:avLst>
          </a:prstGeom>
          <a:solidFill>
            <a:schemeClr val="tx1">
              <a:lumMod val="65000"/>
              <a:lumOff val="35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3A36C57F-625A-4E00-8487-A2780815360C}" type="TxLink">
              <a:rPr lang="en-US" sz="10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Janeiro</a:t>
            </a:fld>
            <a:endParaRPr lang="en-US" sz="1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2291" name="Spinner 3" hidden="1">
                <a:extLst>
                  <a:ext uri="{63B3BB69-23CF-44E3-9099-C40C66FF867C}">
                    <a14:compatExt spid="_x0000_s12291"/>
                  </a:ext>
                  <a:ext uri="{FF2B5EF4-FFF2-40B4-BE49-F238E27FC236}">
                    <a16:creationId xmlns:a16="http://schemas.microsoft.com/office/drawing/2014/main" id="{00000000-0008-0000-0500-000003300000}"/>
                  </a:ext>
                </a:extLst>
              </xdr:cNvPr>
              <xdr:cNvSpPr/>
            </xdr:nvSpPr>
            <xdr:spPr bwMode="auto">
              <a:xfrm>
                <a:off x="7067062" y="404744"/>
                <a:ext cx="142875" cy="2286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</xdr:grpSp>
    <xdr:clientData/>
  </xdr:twoCellAnchor>
  <xdr:twoCellAnchor editAs="absolute">
    <xdr:from>
      <xdr:col>0</xdr:col>
      <xdr:colOff>114300</xdr:colOff>
      <xdr:row>1</xdr:row>
      <xdr:rowOff>57150</xdr:rowOff>
    </xdr:from>
    <xdr:to>
      <xdr:col>8</xdr:col>
      <xdr:colOff>292100</xdr:colOff>
      <xdr:row>3</xdr:row>
      <xdr:rowOff>49821</xdr:rowOff>
    </xdr:to>
    <xdr:sp macro="" textlink="config!B42">
      <xdr:nvSpPr>
        <xdr:cNvPr id="31" name="CaixaDeTexto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/>
      </xdr:nvSpPr>
      <xdr:spPr>
        <a:xfrm>
          <a:off x="114300" y="247650"/>
          <a:ext cx="4692650" cy="373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fld id="{20FE5215-4F86-4F7B-AAB9-C63899567204}" type="TxLink">
            <a:rPr lang="en-US" sz="20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rPr>
            <a:pPr/>
            <a:t>Análise do mês Janeiro do ano de 2024</a:t>
          </a:fld>
          <a:endParaRPr lang="en-US" sz="2000" b="1" i="0" u="none" strike="noStrike">
            <a:solidFill>
              <a:schemeClr val="tx1">
                <a:lumMod val="75000"/>
                <a:lumOff val="2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0</xdr:col>
      <xdr:colOff>190500</xdr:colOff>
      <xdr:row>3</xdr:row>
      <xdr:rowOff>158750</xdr:rowOff>
    </xdr:from>
    <xdr:to>
      <xdr:col>8</xdr:col>
      <xdr:colOff>61913</xdr:colOff>
      <xdr:row>12</xdr:row>
      <xdr:rowOff>101600</xdr:rowOff>
    </xdr:to>
    <xdr:sp macro="" textlink="">
      <xdr:nvSpPr>
        <xdr:cNvPr id="40" name="Retângulo: Cantos Arredondados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SpPr/>
      </xdr:nvSpPr>
      <xdr:spPr>
        <a:xfrm>
          <a:off x="190500" y="730250"/>
          <a:ext cx="4386263" cy="2724150"/>
        </a:xfrm>
        <a:prstGeom prst="roundRect">
          <a:avLst>
            <a:gd name="adj" fmla="val 2607"/>
          </a:avLst>
        </a:prstGeom>
        <a:noFill/>
        <a:ln>
          <a:gradFill>
            <a:gsLst>
              <a:gs pos="0">
                <a:srgbClr val="8062ED"/>
              </a:gs>
              <a:gs pos="100000">
                <a:srgbClr val="3899FC"/>
              </a:gs>
            </a:gsLst>
            <a:lin ang="5400000" scaled="1"/>
          </a:gradFill>
        </a:ln>
        <a:effectLst>
          <a:outerShdw blurRad="50800" dist="38100" dir="2700000" algn="tl" rotWithShape="0">
            <a:srgbClr val="0080ED">
              <a:alpha val="30000"/>
            </a:srgb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0</xdr:colOff>
      <xdr:row>11</xdr:row>
      <xdr:rowOff>76200</xdr:rowOff>
    </xdr:from>
    <xdr:to>
      <xdr:col>6</xdr:col>
      <xdr:colOff>69850</xdr:colOff>
      <xdr:row>12</xdr:row>
      <xdr:rowOff>88900</xdr:rowOff>
    </xdr:to>
    <xdr:grpSp>
      <xdr:nvGrpSpPr>
        <xdr:cNvPr id="49" name="Agrupa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GrpSpPr/>
      </xdr:nvGrpSpPr>
      <xdr:grpSpPr>
        <a:xfrm>
          <a:off x="247650" y="3429000"/>
          <a:ext cx="3117850" cy="203200"/>
          <a:chOff x="228600" y="3244850"/>
          <a:chExt cx="3117851" cy="203200"/>
        </a:xfrm>
      </xdr:grpSpPr>
      <xdr:sp macro="" textlink="">
        <xdr:nvSpPr>
          <xdr:cNvPr id="47" name="CaixaDeTexto 46">
            <a:extLst>
              <a:ext uri="{FF2B5EF4-FFF2-40B4-BE49-F238E27FC236}">
                <a16:creationId xmlns:a16="http://schemas.microsoft.com/office/drawing/2014/main" id="{00000000-0008-0000-0500-00002F000000}"/>
              </a:ext>
            </a:extLst>
          </xdr:cNvPr>
          <xdr:cNvSpPr txBox="1"/>
        </xdr:nvSpPr>
        <xdr:spPr>
          <a:xfrm>
            <a:off x="527050" y="3244850"/>
            <a:ext cx="2819401" cy="2032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800" b="0" i="1" u="none" strike="noStrike">
                <a:solidFill>
                  <a:srgbClr val="F64B57"/>
                </a:solidFill>
                <a:latin typeface="+mn-lt"/>
                <a:ea typeface="Calibri"/>
                <a:cs typeface="Calibri"/>
              </a:rPr>
              <a:t>Dias com tarefas criadas e pendentes de conclusão</a:t>
            </a:r>
          </a:p>
        </xdr:txBody>
      </xdr:sp>
      <xdr:sp macro="" textlink="">
        <xdr:nvSpPr>
          <xdr:cNvPr id="48" name="Retângulo 47">
            <a:extLst>
              <a:ext uri="{FF2B5EF4-FFF2-40B4-BE49-F238E27FC236}">
                <a16:creationId xmlns:a16="http://schemas.microsoft.com/office/drawing/2014/main" id="{00000000-0008-0000-0500-000030000000}"/>
              </a:ext>
            </a:extLst>
          </xdr:cNvPr>
          <xdr:cNvSpPr/>
        </xdr:nvSpPr>
        <xdr:spPr>
          <a:xfrm>
            <a:off x="228600" y="3302000"/>
            <a:ext cx="342900" cy="107950"/>
          </a:xfrm>
          <a:prstGeom prst="rect">
            <a:avLst/>
          </a:prstGeom>
          <a:solidFill>
            <a:srgbClr val="F64B57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>
    <xdr:from>
      <xdr:col>0</xdr:col>
      <xdr:colOff>203200</xdr:colOff>
      <xdr:row>3</xdr:row>
      <xdr:rowOff>44450</xdr:rowOff>
    </xdr:from>
    <xdr:to>
      <xdr:col>13</xdr:col>
      <xdr:colOff>527050</xdr:colOff>
      <xdr:row>3</xdr:row>
      <xdr:rowOff>44450</xdr:rowOff>
    </xdr:to>
    <xdr:cxnSp macro="">
      <xdr:nvCxnSpPr>
        <xdr:cNvPr id="57" name="Conector reto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203200" y="615950"/>
          <a:ext cx="7886700" cy="0"/>
        </a:xfrm>
        <a:prstGeom prst="line">
          <a:avLst/>
        </a:prstGeom>
        <a:ln>
          <a:solidFill>
            <a:schemeClr val="bg1">
              <a:lumMod val="50000"/>
              <a:alpha val="3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241300</xdr:colOff>
      <xdr:row>3</xdr:row>
      <xdr:rowOff>171452</xdr:rowOff>
    </xdr:from>
    <xdr:to>
      <xdr:col>13</xdr:col>
      <xdr:colOff>527050</xdr:colOff>
      <xdr:row>8</xdr:row>
      <xdr:rowOff>101600</xdr:rowOff>
    </xdr:to>
    <xdr:sp macro="" textlink="">
      <xdr:nvSpPr>
        <xdr:cNvPr id="51" name="Retângulo: Cantos Arredondados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SpPr/>
      </xdr:nvSpPr>
      <xdr:spPr>
        <a:xfrm>
          <a:off x="4756150" y="742952"/>
          <a:ext cx="3333750" cy="1301748"/>
        </a:xfrm>
        <a:prstGeom prst="roundRect">
          <a:avLst>
            <a:gd name="adj" fmla="val 4398"/>
          </a:avLst>
        </a:prstGeom>
        <a:solidFill>
          <a:schemeClr val="bg1"/>
        </a:solidFill>
        <a:ln>
          <a:noFill/>
        </a:ln>
        <a:effectLst>
          <a:outerShdw blurRad="127000" sx="101000" sy="101000" algn="ctr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/>
        </a:p>
      </xdr:txBody>
    </xdr:sp>
    <xdr:clientData/>
  </xdr:twoCellAnchor>
  <xdr:twoCellAnchor>
    <xdr:from>
      <xdr:col>9</xdr:col>
      <xdr:colOff>148059</xdr:colOff>
      <xdr:row>6</xdr:row>
      <xdr:rowOff>129382</xdr:rowOff>
    </xdr:from>
    <xdr:to>
      <xdr:col>10</xdr:col>
      <xdr:colOff>414793</xdr:colOff>
      <xdr:row>6</xdr:row>
      <xdr:rowOff>420148</xdr:rowOff>
    </xdr:to>
    <xdr:sp macro="" textlink="">
      <xdr:nvSpPr>
        <xdr:cNvPr id="52" name="CaixaDeTexto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SpPr txBox="1"/>
      </xdr:nvSpPr>
      <xdr:spPr>
        <a:xfrm>
          <a:off x="5272509" y="1132682"/>
          <a:ext cx="876334" cy="29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>
                  <a:lumMod val="65000"/>
                </a:schemeClr>
              </a:solidFill>
              <a:latin typeface="Calibri"/>
              <a:ea typeface="Calibri"/>
              <a:cs typeface="Calibri"/>
            </a:rPr>
            <a:t>Tarefas Criadas</a:t>
          </a:r>
        </a:p>
      </xdr:txBody>
    </xdr:sp>
    <xdr:clientData/>
  </xdr:twoCellAnchor>
  <xdr:twoCellAnchor>
    <xdr:from>
      <xdr:col>9</xdr:col>
      <xdr:colOff>139545</xdr:colOff>
      <xdr:row>4</xdr:row>
      <xdr:rowOff>15092</xdr:rowOff>
    </xdr:from>
    <xdr:to>
      <xdr:col>10</xdr:col>
      <xdr:colOff>410607</xdr:colOff>
      <xdr:row>6</xdr:row>
      <xdr:rowOff>229239</xdr:rowOff>
    </xdr:to>
    <xdr:sp macro="" textlink="config!B53">
      <xdr:nvSpPr>
        <xdr:cNvPr id="53" name="CaixaDeTexto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SpPr txBox="1"/>
      </xdr:nvSpPr>
      <xdr:spPr>
        <a:xfrm>
          <a:off x="5263995" y="777092"/>
          <a:ext cx="880662" cy="4554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fld id="{5471EAAB-F86B-47EB-B19D-C6AD18E2BE34}" type="TxLink">
            <a:rPr lang="en-US" sz="28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Calibri"/>
              <a:cs typeface="Calibri"/>
            </a:rPr>
            <a:pPr algn="ctr"/>
            <a:t>0</a:t>
          </a:fld>
          <a:endParaRPr lang="en-US" sz="2800" b="1" i="0" u="none" strike="noStrike">
            <a:solidFill>
              <a:schemeClr val="tx1">
                <a:lumMod val="65000"/>
                <a:lumOff val="3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8</xdr:col>
      <xdr:colOff>241300</xdr:colOff>
      <xdr:row>8</xdr:row>
      <xdr:rowOff>304800</xdr:rowOff>
    </xdr:from>
    <xdr:to>
      <xdr:col>13</xdr:col>
      <xdr:colOff>527800</xdr:colOff>
      <xdr:row>12</xdr:row>
      <xdr:rowOff>114300</xdr:rowOff>
    </xdr:to>
    <xdr:sp macro="" textlink="">
      <xdr:nvSpPr>
        <xdr:cNvPr id="12304" name="Retângulo: Cantos Arredondados 12303">
          <a:extLst>
            <a:ext uri="{FF2B5EF4-FFF2-40B4-BE49-F238E27FC236}">
              <a16:creationId xmlns:a16="http://schemas.microsoft.com/office/drawing/2014/main" id="{00000000-0008-0000-0500-000010300000}"/>
            </a:ext>
          </a:extLst>
        </xdr:cNvPr>
        <xdr:cNvSpPr/>
      </xdr:nvSpPr>
      <xdr:spPr>
        <a:xfrm>
          <a:off x="4756150" y="2247900"/>
          <a:ext cx="3334500" cy="1409700"/>
        </a:xfrm>
        <a:prstGeom prst="roundRect">
          <a:avLst>
            <a:gd name="adj" fmla="val 2285"/>
          </a:avLst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pt-BR" sz="1100"/>
        </a:p>
      </xdr:txBody>
    </xdr:sp>
    <xdr:clientData/>
  </xdr:twoCellAnchor>
  <xdr:twoCellAnchor>
    <xdr:from>
      <xdr:col>8</xdr:col>
      <xdr:colOff>209550</xdr:colOff>
      <xdr:row>8</xdr:row>
      <xdr:rowOff>323850</xdr:rowOff>
    </xdr:from>
    <xdr:to>
      <xdr:col>13</xdr:col>
      <xdr:colOff>533400</xdr:colOff>
      <xdr:row>9</xdr:row>
      <xdr:rowOff>152400</xdr:rowOff>
    </xdr:to>
    <xdr:sp macro="" textlink="">
      <xdr:nvSpPr>
        <xdr:cNvPr id="12306" name="CaixaDeTexto 12305">
          <a:extLst>
            <a:ext uri="{FF2B5EF4-FFF2-40B4-BE49-F238E27FC236}">
              <a16:creationId xmlns:a16="http://schemas.microsoft.com/office/drawing/2014/main" id="{00000000-0008-0000-0500-000012300000}"/>
            </a:ext>
          </a:extLst>
        </xdr:cNvPr>
        <xdr:cNvSpPr txBox="1"/>
      </xdr:nvSpPr>
      <xdr:spPr>
        <a:xfrm>
          <a:off x="4724400" y="2266950"/>
          <a:ext cx="3371850" cy="2984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000" b="1" i="0" u="none" strike="noStrike">
              <a:solidFill>
                <a:srgbClr val="F64B57"/>
              </a:solidFill>
              <a:latin typeface="Calibri"/>
              <a:ea typeface="Calibri"/>
              <a:cs typeface="Calibri"/>
            </a:rPr>
            <a:t>Pendentes</a:t>
          </a:r>
        </a:p>
      </xdr:txBody>
    </xdr:sp>
    <xdr:clientData/>
  </xdr:twoCellAnchor>
  <xdr:twoCellAnchor>
    <xdr:from>
      <xdr:col>8</xdr:col>
      <xdr:colOff>279400</xdr:colOff>
      <xdr:row>6</xdr:row>
      <xdr:rowOff>317500</xdr:rowOff>
    </xdr:from>
    <xdr:to>
      <xdr:col>9</xdr:col>
      <xdr:colOff>550462</xdr:colOff>
      <xdr:row>7</xdr:row>
      <xdr:rowOff>303047</xdr:rowOff>
    </xdr:to>
    <xdr:sp macro="" textlink="config!B55">
      <xdr:nvSpPr>
        <xdr:cNvPr id="12308" name="CaixaDeTexto 12307">
          <a:extLst>
            <a:ext uri="{FF2B5EF4-FFF2-40B4-BE49-F238E27FC236}">
              <a16:creationId xmlns:a16="http://schemas.microsoft.com/office/drawing/2014/main" id="{00000000-0008-0000-0500-000014300000}"/>
            </a:ext>
          </a:extLst>
        </xdr:cNvPr>
        <xdr:cNvSpPr txBox="1"/>
      </xdr:nvSpPr>
      <xdr:spPr>
        <a:xfrm>
          <a:off x="4794250" y="1320800"/>
          <a:ext cx="880662" cy="4554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6EC43B7A-F74D-4AA4-96FB-D5F037B0A68C}" type="TxLink">
            <a:rPr lang="en-US" sz="2000" b="1" i="0" u="none" strike="noStrike">
              <a:solidFill>
                <a:srgbClr val="F64B57"/>
              </a:solidFill>
              <a:latin typeface="Calibri"/>
              <a:ea typeface="Calibri"/>
              <a:cs typeface="Calibri"/>
            </a:rPr>
            <a:pPr marL="0" indent="0" algn="ctr"/>
            <a:t>0</a:t>
          </a:fld>
          <a:endParaRPr lang="en-US" sz="6000" b="1" i="0" u="none" strike="noStrike">
            <a:solidFill>
              <a:srgbClr val="F64B57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8</xdr:col>
      <xdr:colOff>311150</xdr:colOff>
      <xdr:row>9</xdr:row>
      <xdr:rowOff>330200</xdr:rowOff>
    </xdr:from>
    <xdr:to>
      <xdr:col>10</xdr:col>
      <xdr:colOff>606586</xdr:colOff>
      <xdr:row>11</xdr:row>
      <xdr:rowOff>177575</xdr:rowOff>
    </xdr:to>
    <xdr:graphicFrame macro="">
      <xdr:nvGraphicFramePr>
        <xdr:cNvPr id="12318" name="Gráfico 12317">
          <a:extLst>
            <a:ext uri="{FF2B5EF4-FFF2-40B4-BE49-F238E27FC236}">
              <a16:creationId xmlns:a16="http://schemas.microsoft.com/office/drawing/2014/main" id="{00000000-0008-0000-0500-00001E3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430293</xdr:colOff>
      <xdr:row>9</xdr:row>
      <xdr:rowOff>146050</xdr:rowOff>
    </xdr:from>
    <xdr:to>
      <xdr:col>10</xdr:col>
      <xdr:colOff>487443</xdr:colOff>
      <xdr:row>9</xdr:row>
      <xdr:rowOff>336550</xdr:rowOff>
    </xdr:to>
    <xdr:sp macro="" textlink="">
      <xdr:nvSpPr>
        <xdr:cNvPr id="12319" name="CaixaDeTexto 12318">
          <a:extLst>
            <a:ext uri="{FF2B5EF4-FFF2-40B4-BE49-F238E27FC236}">
              <a16:creationId xmlns:a16="http://schemas.microsoft.com/office/drawing/2014/main" id="{00000000-0008-0000-0500-00001F300000}"/>
            </a:ext>
          </a:extLst>
        </xdr:cNvPr>
        <xdr:cNvSpPr txBox="1"/>
      </xdr:nvSpPr>
      <xdr:spPr>
        <a:xfrm>
          <a:off x="4945143" y="2559050"/>
          <a:ext cx="127635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000" b="1" i="0" u="none" strike="noStrike">
              <a:solidFill>
                <a:srgbClr val="F64B57"/>
              </a:solidFill>
              <a:latin typeface="Calibri"/>
              <a:ea typeface="Calibri"/>
              <a:cs typeface="Calibri"/>
            </a:rPr>
            <a:t>Top 3 Responsáveis</a:t>
          </a:r>
        </a:p>
      </xdr:txBody>
    </xdr:sp>
    <xdr:clientData/>
  </xdr:twoCellAnchor>
  <xdr:twoCellAnchor>
    <xdr:from>
      <xdr:col>11</xdr:col>
      <xdr:colOff>217568</xdr:colOff>
      <xdr:row>9</xdr:row>
      <xdr:rowOff>152400</xdr:rowOff>
    </xdr:from>
    <xdr:to>
      <xdr:col>13</xdr:col>
      <xdr:colOff>274718</xdr:colOff>
      <xdr:row>9</xdr:row>
      <xdr:rowOff>342900</xdr:rowOff>
    </xdr:to>
    <xdr:sp macro="" textlink="">
      <xdr:nvSpPr>
        <xdr:cNvPr id="12320" name="CaixaDeTexto 12319">
          <a:extLst>
            <a:ext uri="{FF2B5EF4-FFF2-40B4-BE49-F238E27FC236}">
              <a16:creationId xmlns:a16="http://schemas.microsoft.com/office/drawing/2014/main" id="{00000000-0008-0000-0500-000020300000}"/>
            </a:ext>
          </a:extLst>
        </xdr:cNvPr>
        <xdr:cNvSpPr txBox="1"/>
      </xdr:nvSpPr>
      <xdr:spPr>
        <a:xfrm>
          <a:off x="6561218" y="2565400"/>
          <a:ext cx="127635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000" b="1" i="0" u="none" strike="noStrike">
              <a:solidFill>
                <a:srgbClr val="F64B57"/>
              </a:solidFill>
              <a:latin typeface="Calibri"/>
              <a:ea typeface="Calibri"/>
              <a:cs typeface="Calibri"/>
            </a:rPr>
            <a:t>Top 3 Setores</a:t>
          </a:r>
        </a:p>
      </xdr:txBody>
    </xdr:sp>
    <xdr:clientData/>
  </xdr:twoCellAnchor>
  <xdr:twoCellAnchor>
    <xdr:from>
      <xdr:col>11</xdr:col>
      <xdr:colOff>82550</xdr:colOff>
      <xdr:row>9</xdr:row>
      <xdr:rowOff>330200</xdr:rowOff>
    </xdr:from>
    <xdr:to>
      <xdr:col>13</xdr:col>
      <xdr:colOff>409736</xdr:colOff>
      <xdr:row>11</xdr:row>
      <xdr:rowOff>177575</xdr:rowOff>
    </xdr:to>
    <xdr:graphicFrame macro="">
      <xdr:nvGraphicFramePr>
        <xdr:cNvPr id="12321" name="Gráfico 12320">
          <a:extLst>
            <a:ext uri="{FF2B5EF4-FFF2-40B4-BE49-F238E27FC236}">
              <a16:creationId xmlns:a16="http://schemas.microsoft.com/office/drawing/2014/main" id="{00000000-0008-0000-0500-0000213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50800</xdr:colOff>
      <xdr:row>9</xdr:row>
      <xdr:rowOff>190500</xdr:rowOff>
    </xdr:from>
    <xdr:to>
      <xdr:col>11</xdr:col>
      <xdr:colOff>50800</xdr:colOff>
      <xdr:row>11</xdr:row>
      <xdr:rowOff>120650</xdr:rowOff>
    </xdr:to>
    <xdr:cxnSp macro="">
      <xdr:nvCxnSpPr>
        <xdr:cNvPr id="5" name="Conector ret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6394450" y="2603500"/>
          <a:ext cx="0" cy="869950"/>
        </a:xfrm>
        <a:prstGeom prst="line">
          <a:avLst/>
        </a:prstGeom>
        <a:ln>
          <a:solidFill>
            <a:schemeClr val="bg1">
              <a:lumMod val="75000"/>
              <a:alpha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303806</xdr:colOff>
      <xdr:row>7</xdr:row>
      <xdr:rowOff>203200</xdr:rowOff>
    </xdr:from>
    <xdr:to>
      <xdr:col>9</xdr:col>
      <xdr:colOff>526056</xdr:colOff>
      <xdr:row>8</xdr:row>
      <xdr:rowOff>93300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4818656" y="1676400"/>
          <a:ext cx="831850" cy="360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700" b="1" i="0" u="none" strike="noStrike">
              <a:solidFill>
                <a:srgbClr val="F64B57"/>
              </a:solidFill>
              <a:latin typeface="Calibri"/>
              <a:ea typeface="Calibri"/>
              <a:cs typeface="Calibri"/>
            </a:rPr>
            <a:t>Tarefas Pendentes</a:t>
          </a:r>
        </a:p>
      </xdr:txBody>
    </xdr:sp>
    <xdr:clientData/>
  </xdr:twoCellAnchor>
  <xdr:twoCellAnchor>
    <xdr:from>
      <xdr:col>11</xdr:col>
      <xdr:colOff>114300</xdr:colOff>
      <xdr:row>4</xdr:row>
      <xdr:rowOff>31750</xdr:rowOff>
    </xdr:from>
    <xdr:to>
      <xdr:col>13</xdr:col>
      <xdr:colOff>555353</xdr:colOff>
      <xdr:row>8</xdr:row>
      <xdr:rowOff>104042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533400</xdr:colOff>
      <xdr:row>6</xdr:row>
      <xdr:rowOff>317500</xdr:rowOff>
    </xdr:from>
    <xdr:to>
      <xdr:col>11</xdr:col>
      <xdr:colOff>194862</xdr:colOff>
      <xdr:row>7</xdr:row>
      <xdr:rowOff>303047</xdr:rowOff>
    </xdr:to>
    <xdr:sp macro="" textlink="config!B54">
      <xdr:nvSpPr>
        <xdr:cNvPr id="8" name="CaixaDeTexto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5657850" y="1320800"/>
          <a:ext cx="880662" cy="4554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EE861229-5B65-4380-A4E7-B975122C2316}" type="TxLink">
            <a:rPr lang="en-US" sz="2000" b="1" i="0" u="none" strike="noStrike">
              <a:solidFill>
                <a:srgbClr val="29D1B5"/>
              </a:solidFill>
              <a:latin typeface="Calibri"/>
              <a:ea typeface="Calibri"/>
              <a:cs typeface="Calibri"/>
            </a:rPr>
            <a:pPr marL="0" indent="0" algn="ctr"/>
            <a:t>0</a:t>
          </a:fld>
          <a:endParaRPr lang="en-US" sz="2000" b="1" i="0" u="none" strike="noStrike">
            <a:solidFill>
              <a:srgbClr val="29D1B5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9</xdr:col>
      <xdr:colOff>557806</xdr:colOff>
      <xdr:row>7</xdr:row>
      <xdr:rowOff>203200</xdr:rowOff>
    </xdr:from>
    <xdr:to>
      <xdr:col>11</xdr:col>
      <xdr:colOff>170456</xdr:colOff>
      <xdr:row>8</xdr:row>
      <xdr:rowOff>93300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5682256" y="1676400"/>
          <a:ext cx="831850" cy="360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700" b="1" i="0" u="none" strike="noStrike">
              <a:solidFill>
                <a:srgbClr val="29D1B5"/>
              </a:solidFill>
              <a:latin typeface="Calibri"/>
              <a:ea typeface="Calibri"/>
              <a:cs typeface="Calibri"/>
            </a:rPr>
            <a:t>Tarefas Finalizadas</a:t>
          </a:r>
        </a:p>
      </xdr:txBody>
    </xdr:sp>
    <xdr:clientData/>
  </xdr:twoCellAnchor>
  <xdr:twoCellAnchor>
    <xdr:from>
      <xdr:col>12</xdr:col>
      <xdr:colOff>50800</xdr:colOff>
      <xdr:row>6</xdr:row>
      <xdr:rowOff>133350</xdr:rowOff>
    </xdr:from>
    <xdr:to>
      <xdr:col>13</xdr:col>
      <xdr:colOff>76200</xdr:colOff>
      <xdr:row>7</xdr:row>
      <xdr:rowOff>118897</xdr:rowOff>
    </xdr:to>
    <xdr:sp macro="" textlink="config!C54">
      <xdr:nvSpPr>
        <xdr:cNvPr id="10" name="CaixaDeTexto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/>
      </xdr:nvSpPr>
      <xdr:spPr>
        <a:xfrm>
          <a:off x="7004050" y="1136650"/>
          <a:ext cx="635000" cy="45544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F24B1846-79C4-41F4-98A5-50038D64DDCB}" type="TxLink">
            <a:rPr lang="en-US" sz="1100" b="1" i="0" u="none" strike="noStrike">
              <a:solidFill>
                <a:srgbClr val="29D1B5"/>
              </a:solidFill>
              <a:latin typeface="Calibri"/>
              <a:ea typeface="Calibri"/>
              <a:cs typeface="Calibri"/>
            </a:rPr>
            <a:pPr marL="0" indent="0" algn="ctr"/>
            <a:t>-</a:t>
          </a:fld>
          <a:endParaRPr lang="en-US" sz="2800" b="1" i="0" u="none" strike="noStrike">
            <a:solidFill>
              <a:srgbClr val="29D1B5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11</xdr:col>
      <xdr:colOff>602256</xdr:colOff>
      <xdr:row>6</xdr:row>
      <xdr:rowOff>381000</xdr:rowOff>
    </xdr:from>
    <xdr:to>
      <xdr:col>13</xdr:col>
      <xdr:colOff>107950</xdr:colOff>
      <xdr:row>7</xdr:row>
      <xdr:rowOff>133350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6945906" y="1384300"/>
          <a:ext cx="724894" cy="222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700" b="1" i="0" u="none" strike="noStrike">
              <a:solidFill>
                <a:srgbClr val="29D1B5"/>
              </a:solidFill>
              <a:latin typeface="Calibri"/>
              <a:ea typeface="Calibri"/>
              <a:cs typeface="Calibri"/>
            </a:rPr>
            <a:t> Finalizadas</a:t>
          </a:r>
        </a:p>
      </xdr:txBody>
    </xdr:sp>
    <xdr:clientData/>
  </xdr:twoCellAnchor>
  <xdr:twoCellAnchor>
    <xdr:from>
      <xdr:col>9</xdr:col>
      <xdr:colOff>533400</xdr:colOff>
      <xdr:row>7</xdr:row>
      <xdr:rowOff>31750</xdr:rowOff>
    </xdr:from>
    <xdr:to>
      <xdr:col>9</xdr:col>
      <xdr:colOff>533400</xdr:colOff>
      <xdr:row>7</xdr:row>
      <xdr:rowOff>457200</xdr:rowOff>
    </xdr:to>
    <xdr:cxnSp macro="">
      <xdr:nvCxnSpPr>
        <xdr:cNvPr id="12" name="Conector reto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>
          <a:off x="5657850" y="1504950"/>
          <a:ext cx="0" cy="425450"/>
        </a:xfrm>
        <a:prstGeom prst="line">
          <a:avLst/>
        </a:prstGeom>
        <a:ln>
          <a:solidFill>
            <a:schemeClr val="bg1">
              <a:lumMod val="75000"/>
              <a:alpha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263769</xdr:colOff>
      <xdr:row>2</xdr:row>
      <xdr:rowOff>80596</xdr:rowOff>
    </xdr:from>
    <xdr:ext cx="184731" cy="264560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3416544" y="461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1</xdr:col>
      <xdr:colOff>21982</xdr:colOff>
      <xdr:row>0</xdr:row>
      <xdr:rowOff>43963</xdr:rowOff>
    </xdr:from>
    <xdr:ext cx="3245826" cy="212479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26757" y="43963"/>
          <a:ext cx="3245826" cy="21247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0">
              <a:solidFill>
                <a:schemeClr val="bg1">
                  <a:lumMod val="50000"/>
                </a:schemeClr>
              </a:solidFill>
            </a:rPr>
            <a:t>Controle de Tarefas 2.0 / Dashboard 3</a:t>
          </a:r>
        </a:p>
      </xdr:txBody>
    </xdr:sp>
    <xdr:clientData/>
  </xdr:oneCellAnchor>
  <xdr:twoCellAnchor>
    <xdr:from>
      <xdr:col>10</xdr:col>
      <xdr:colOff>514350</xdr:colOff>
      <xdr:row>1</xdr:row>
      <xdr:rowOff>136525</xdr:rowOff>
    </xdr:from>
    <xdr:to>
      <xdr:col>14</xdr:col>
      <xdr:colOff>57150</xdr:colOff>
      <xdr:row>2</xdr:row>
      <xdr:rowOff>174625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6208939" y="327025"/>
          <a:ext cx="1992086" cy="228600"/>
          <a:chOff x="6184900" y="327025"/>
          <a:chExt cx="1981200" cy="228600"/>
        </a:xfrm>
      </xdr:grpSpPr>
      <xdr:sp macro="" textlink="config!B75">
        <xdr:nvSpPr>
          <xdr:cNvPr id="26" name="CaixaDeTexto 25">
            <a:extLst>
              <a:ext uri="{FF2B5EF4-FFF2-40B4-BE49-F238E27FC236}">
                <a16:creationId xmlns:a16="http://schemas.microsoft.com/office/drawing/2014/main" id="{00000000-0008-0000-0600-00001A000000}"/>
              </a:ext>
            </a:extLst>
          </xdr:cNvPr>
          <xdr:cNvSpPr txBox="1"/>
        </xdr:nvSpPr>
        <xdr:spPr>
          <a:xfrm>
            <a:off x="7437805" y="333325"/>
            <a:ext cx="540000" cy="216000"/>
          </a:xfrm>
          <a:prstGeom prst="roundRect">
            <a:avLst>
              <a:gd name="adj" fmla="val 16668"/>
            </a:avLst>
          </a:prstGeom>
          <a:solidFill>
            <a:schemeClr val="tx1">
              <a:lumMod val="65000"/>
              <a:lumOff val="35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158F300B-C3BC-469A-B473-77EC84AED869}" type="TxLink">
              <a:rPr lang="en-US" sz="11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2024</a:t>
            </a:fld>
            <a:endParaRPr lang="en-US" sz="11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3313" name="Spinner 1" hidden="1">
                <a:extLst>
                  <a:ext uri="{63B3BB69-23CF-44E3-9099-C40C66FF867C}">
                    <a14:compatExt spid="_x0000_s13313"/>
                  </a:ext>
                  <a:ext uri="{FF2B5EF4-FFF2-40B4-BE49-F238E27FC236}">
                    <a16:creationId xmlns:a16="http://schemas.microsoft.com/office/drawing/2014/main" id="{00000000-0008-0000-0600-000001340000}"/>
                  </a:ext>
                </a:extLst>
              </xdr:cNvPr>
              <xdr:cNvSpPr/>
            </xdr:nvSpPr>
            <xdr:spPr bwMode="auto">
              <a:xfrm>
                <a:off x="8013700" y="327025"/>
                <a:ext cx="152400" cy="2286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  <xdr:sp macro="" textlink="config!B78">
        <xdr:nvSpPr>
          <xdr:cNvPr id="27" name="CaixaDeTexto 26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SpPr txBox="1"/>
        </xdr:nvSpPr>
        <xdr:spPr>
          <a:xfrm>
            <a:off x="6184900" y="333325"/>
            <a:ext cx="894624" cy="216000"/>
          </a:xfrm>
          <a:prstGeom prst="roundRect">
            <a:avLst>
              <a:gd name="adj" fmla="val 16668"/>
            </a:avLst>
          </a:prstGeom>
          <a:solidFill>
            <a:schemeClr val="tx1">
              <a:lumMod val="65000"/>
              <a:lumOff val="35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30B6426C-CB5F-4173-8E84-81202AC73B48}" type="TxLink">
              <a:rPr lang="en-US" sz="11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Março</a:t>
            </a:fld>
            <a:endParaRPr lang="en-US" sz="11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3314" name="Spinner 2" hidden="1">
                <a:extLst>
                  <a:ext uri="{63B3BB69-23CF-44E3-9099-C40C66FF867C}">
                    <a14:compatExt spid="_x0000_s13314"/>
                  </a:ext>
                  <a:ext uri="{FF2B5EF4-FFF2-40B4-BE49-F238E27FC236}">
                    <a16:creationId xmlns:a16="http://schemas.microsoft.com/office/drawing/2014/main" id="{00000000-0008-0000-0600-000002340000}"/>
                  </a:ext>
                </a:extLst>
              </xdr:cNvPr>
              <xdr:cNvSpPr/>
            </xdr:nvSpPr>
            <xdr:spPr bwMode="auto">
              <a:xfrm>
                <a:off x="7127875" y="327025"/>
                <a:ext cx="142875" cy="2286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</xdr:grpSp>
    <xdr:clientData/>
  </xdr:twoCellAnchor>
  <xdr:twoCellAnchor editAs="absolute">
    <xdr:from>
      <xdr:col>0</xdr:col>
      <xdr:colOff>127000</xdr:colOff>
      <xdr:row>1</xdr:row>
      <xdr:rowOff>57150</xdr:rowOff>
    </xdr:from>
    <xdr:to>
      <xdr:col>8</xdr:col>
      <xdr:colOff>368300</xdr:colOff>
      <xdr:row>3</xdr:row>
      <xdr:rowOff>49821</xdr:rowOff>
    </xdr:to>
    <xdr:sp macro="" textlink="config!B72">
      <xdr:nvSpPr>
        <xdr:cNvPr id="31" name="CaixaDeTexto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 txBox="1"/>
      </xdr:nvSpPr>
      <xdr:spPr>
        <a:xfrm>
          <a:off x="127000" y="247650"/>
          <a:ext cx="4692650" cy="373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fld id="{5EDA218B-9D05-4B53-9B6B-49379A447956}" type="TxLink">
            <a:rPr lang="en-US" sz="20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rPr>
            <a:pPr/>
            <a:t>Análise por Setor</a:t>
          </a:fld>
          <a:endParaRPr lang="en-US" sz="2000" b="1" i="0" u="none" strike="noStrike">
            <a:solidFill>
              <a:schemeClr val="tx1">
                <a:lumMod val="75000"/>
                <a:lumOff val="2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0</xdr:col>
      <xdr:colOff>130908</xdr:colOff>
      <xdr:row>4</xdr:row>
      <xdr:rowOff>95250</xdr:rowOff>
    </xdr:from>
    <xdr:to>
      <xdr:col>13</xdr:col>
      <xdr:colOff>551962</xdr:colOff>
      <xdr:row>15</xdr:row>
      <xdr:rowOff>142141</xdr:rowOff>
    </xdr:to>
    <xdr:sp macro="" textlink="">
      <xdr:nvSpPr>
        <xdr:cNvPr id="33" name="Retângulo: Cantos Arredondados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SpPr/>
      </xdr:nvSpPr>
      <xdr:spPr>
        <a:xfrm>
          <a:off x="130908" y="857250"/>
          <a:ext cx="7920404" cy="2142391"/>
        </a:xfrm>
        <a:prstGeom prst="roundRect">
          <a:avLst>
            <a:gd name="adj" fmla="val 2052"/>
          </a:avLst>
        </a:prstGeom>
        <a:solidFill>
          <a:sysClr val="window" lastClr="FFFFFF"/>
        </a:solidFill>
        <a:ln>
          <a:noFill/>
        </a:ln>
        <a:effectLst>
          <a:outerShdw blurRad="127000" sx="101000" sy="101000" algn="ctr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101600</xdr:colOff>
      <xdr:row>14</xdr:row>
      <xdr:rowOff>159864</xdr:rowOff>
    </xdr:from>
    <xdr:to>
      <xdr:col>3</xdr:col>
      <xdr:colOff>156308</xdr:colOff>
      <xdr:row>15</xdr:row>
      <xdr:rowOff>152537</xdr:rowOff>
    </xdr:to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SpPr txBox="1"/>
      </xdr:nvSpPr>
      <xdr:spPr>
        <a:xfrm>
          <a:off x="101600" y="2826864"/>
          <a:ext cx="1458058" cy="1831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lang="en-US" sz="600" b="0">
              <a:solidFill>
                <a:schemeClr val="bg1">
                  <a:lumMod val="65000"/>
                </a:schemeClr>
              </a:solidFill>
            </a:rPr>
            <a:t>baseado na data de criação da tarefa</a:t>
          </a:r>
        </a:p>
      </xdr:txBody>
    </xdr:sp>
    <xdr:clientData/>
  </xdr:twoCellAnchor>
  <xdr:twoCellAnchor>
    <xdr:from>
      <xdr:col>0</xdr:col>
      <xdr:colOff>148493</xdr:colOff>
      <xdr:row>4</xdr:row>
      <xdr:rowOff>149468</xdr:rowOff>
    </xdr:from>
    <xdr:to>
      <xdr:col>13</xdr:col>
      <xdr:colOff>471366</xdr:colOff>
      <xdr:row>15</xdr:row>
      <xdr:rowOff>134815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285750</xdr:colOff>
      <xdr:row>16</xdr:row>
      <xdr:rowOff>177730</xdr:rowOff>
    </xdr:from>
    <xdr:to>
      <xdr:col>5</xdr:col>
      <xdr:colOff>579081</xdr:colOff>
      <xdr:row>21</xdr:row>
      <xdr:rowOff>148421</xdr:rowOff>
    </xdr:to>
    <xdr:grpSp>
      <xdr:nvGrpSpPr>
        <xdr:cNvPr id="38" name="Agrupa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GrpSpPr/>
      </xdr:nvGrpSpPr>
      <xdr:grpSpPr>
        <a:xfrm>
          <a:off x="2306411" y="3225730"/>
          <a:ext cx="905652" cy="923191"/>
          <a:chOff x="2298700" y="3149530"/>
          <a:chExt cx="902931" cy="923191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SpPr/>
        </xdr:nvSpPr>
        <xdr:spPr>
          <a:xfrm>
            <a:off x="2298700" y="3149530"/>
            <a:ext cx="902931" cy="923191"/>
          </a:xfrm>
          <a:prstGeom prst="roundRect">
            <a:avLst>
              <a:gd name="adj" fmla="val 4702"/>
            </a:avLst>
          </a:prstGeom>
          <a:solidFill>
            <a:srgbClr val="29D1B5"/>
          </a:solidFill>
          <a:ln>
            <a:noFill/>
          </a:ln>
          <a:effectLst>
            <a:outerShdw blurRad="127000" sx="101000" sy="101000" algn="ctr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/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 txBox="1"/>
        </xdr:nvSpPr>
        <xdr:spPr>
          <a:xfrm>
            <a:off x="2354529" y="3582342"/>
            <a:ext cx="788554" cy="34436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r>
              <a:rPr lang="en-US" sz="8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t>Tarefas Finalizadas</a:t>
            </a:r>
          </a:p>
        </xdr:txBody>
      </xdr:sp>
      <xdr:sp macro="" textlink="config!B96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2309182" y="3170463"/>
            <a:ext cx="881969" cy="43228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4E14D39D-C067-47F2-9CF5-1CDC3D9FFF19}" type="TxLink">
              <a:rPr lang="en-US" sz="24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0</a:t>
            </a:fld>
            <a:endParaRPr lang="en-US" sz="24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xdr:sp macro="" textlink="config!D96">
        <xdr:nvSpPr>
          <xdr:cNvPr id="8" name="CaixaDeTexto 7">
            <a:extLst>
              <a:ext uri="{FF2B5EF4-FFF2-40B4-BE49-F238E27FC236}">
                <a16:creationId xmlns:a16="http://schemas.microsoft.com/office/drawing/2014/main" id="{00000000-0008-0000-0600-000008000000}"/>
              </a:ext>
            </a:extLst>
          </xdr:cNvPr>
          <xdr:cNvSpPr txBox="1"/>
        </xdr:nvSpPr>
        <xdr:spPr>
          <a:xfrm>
            <a:off x="2464719" y="3871234"/>
            <a:ext cx="548368" cy="1973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3580E0C7-9086-40CE-B061-38E46E02982B}" type="TxLink">
              <a:rPr lang="en-US" sz="9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-</a:t>
            </a:fld>
            <a:endParaRPr lang="en-US" sz="9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</xdr:grpSp>
    <xdr:clientData/>
  </xdr:twoCellAnchor>
  <xdr:twoCellAnchor>
    <xdr:from>
      <xdr:col>1</xdr:col>
      <xdr:colOff>107950</xdr:colOff>
      <xdr:row>3</xdr:row>
      <xdr:rowOff>44450</xdr:rowOff>
    </xdr:from>
    <xdr:to>
      <xdr:col>14</xdr:col>
      <xdr:colOff>69850</xdr:colOff>
      <xdr:row>3</xdr:row>
      <xdr:rowOff>44450</xdr:rowOff>
    </xdr:to>
    <xdr:cxnSp macro="">
      <xdr:nvCxnSpPr>
        <xdr:cNvPr id="11" name="Conector reto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>
          <a:off x="215900" y="615950"/>
          <a:ext cx="7886700" cy="0"/>
        </a:xfrm>
        <a:prstGeom prst="line">
          <a:avLst/>
        </a:prstGeom>
        <a:ln>
          <a:solidFill>
            <a:schemeClr val="bg1">
              <a:lumMod val="50000"/>
              <a:alpha val="3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139700</xdr:colOff>
      <xdr:row>16</xdr:row>
      <xdr:rowOff>152400</xdr:rowOff>
    </xdr:from>
    <xdr:to>
      <xdr:col>4</xdr:col>
      <xdr:colOff>184150</xdr:colOff>
      <xdr:row>18</xdr:row>
      <xdr:rowOff>12699</xdr:rowOff>
    </xdr:to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139700" y="3200400"/>
          <a:ext cx="2057400" cy="2412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rPr>
            <a:t>Escolha um</a:t>
          </a:r>
          <a:r>
            <a:rPr lang="en-US" sz="1100" b="1" i="0" u="none" strike="noStrike" baseline="0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rPr>
            <a:t> setor para análise:</a:t>
          </a:r>
          <a:endParaRPr lang="en-US" sz="1100" b="1" i="0" u="none" strike="noStrike">
            <a:solidFill>
              <a:schemeClr val="tx1">
                <a:lumMod val="75000"/>
                <a:lumOff val="2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3</xdr:col>
      <xdr:colOff>387350</xdr:colOff>
      <xdr:row>19</xdr:row>
      <xdr:rowOff>31750</xdr:rowOff>
    </xdr:from>
    <xdr:to>
      <xdr:col>3</xdr:col>
      <xdr:colOff>527050</xdr:colOff>
      <xdr:row>20</xdr:row>
      <xdr:rowOff>38100</xdr:rowOff>
    </xdr:to>
    <xdr:cxnSp macro="">
      <xdr:nvCxnSpPr>
        <xdr:cNvPr id="19" name="Conector de Seta Reta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flipV="1">
          <a:off x="1790700" y="3651250"/>
          <a:ext cx="139700" cy="196850"/>
        </a:xfrm>
        <a:prstGeom prst="straightConnector1">
          <a:avLst/>
        </a:prstGeom>
        <a:ln>
          <a:solidFill>
            <a:srgbClr val="3899FC"/>
          </a:solidFill>
          <a:prstDash val="sysDash"/>
          <a:headEnd w="sm" len="med"/>
          <a:tailEnd type="triangle" w="sm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311150</xdr:colOff>
      <xdr:row>20</xdr:row>
      <xdr:rowOff>57151</xdr:rowOff>
    </xdr:from>
    <xdr:to>
      <xdr:col>3</xdr:col>
      <xdr:colOff>419100</xdr:colOff>
      <xdr:row>21</xdr:row>
      <xdr:rowOff>19051</xdr:rowOff>
    </xdr:to>
    <xdr:sp macro="" textlink="">
      <xdr:nvSpPr>
        <xdr:cNvPr id="21" name="CaixaDeTexto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 txBox="1"/>
      </xdr:nvSpPr>
      <xdr:spPr>
        <a:xfrm>
          <a:off x="1104900" y="3867151"/>
          <a:ext cx="717550" cy="152400"/>
        </a:xfrm>
        <a:prstGeom prst="rect">
          <a:avLst/>
        </a:prstGeom>
        <a:solidFill>
          <a:srgbClr val="3899F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t>ESCOLHER</a:t>
          </a:r>
        </a:p>
      </xdr:txBody>
    </xdr:sp>
    <xdr:clientData/>
  </xdr:twoCellAnchor>
  <xdr:twoCellAnchor>
    <xdr:from>
      <xdr:col>6</xdr:col>
      <xdr:colOff>139700</xdr:colOff>
      <xdr:row>16</xdr:row>
      <xdr:rowOff>177800</xdr:rowOff>
    </xdr:from>
    <xdr:to>
      <xdr:col>13</xdr:col>
      <xdr:colOff>336550</xdr:colOff>
      <xdr:row>21</xdr:row>
      <xdr:rowOff>148491</xdr:rowOff>
    </xdr:to>
    <xdr:grpSp>
      <xdr:nvGrpSpPr>
        <xdr:cNvPr id="37" name="Agrupa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GrpSpPr/>
      </xdr:nvGrpSpPr>
      <xdr:grpSpPr>
        <a:xfrm>
          <a:off x="3385004" y="3225800"/>
          <a:ext cx="4483100" cy="923191"/>
          <a:chOff x="3371850" y="3149600"/>
          <a:chExt cx="4464050" cy="923191"/>
        </a:xfrm>
      </xdr:grpSpPr>
      <xdr:sp macro="" textlink="">
        <xdr:nvSpPr>
          <xdr:cNvPr id="15" name="Retângulo: Cantos Arredondados 14"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/>
        </xdr:nvSpPr>
        <xdr:spPr>
          <a:xfrm>
            <a:off x="3918863" y="3159648"/>
            <a:ext cx="3917037" cy="900000"/>
          </a:xfrm>
          <a:prstGeom prst="roundRect">
            <a:avLst>
              <a:gd name="adj" fmla="val 5473"/>
            </a:avLst>
          </a:prstGeom>
          <a:noFill/>
          <a:ln>
            <a:solidFill>
              <a:srgbClr val="F64B57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6" name="Retângulo: Cantos Arredondados 15"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/>
        </xdr:nvSpPr>
        <xdr:spPr>
          <a:xfrm>
            <a:off x="3371850" y="3149600"/>
            <a:ext cx="905652" cy="923191"/>
          </a:xfrm>
          <a:prstGeom prst="roundRect">
            <a:avLst>
              <a:gd name="adj" fmla="val 4702"/>
            </a:avLst>
          </a:prstGeom>
          <a:solidFill>
            <a:srgbClr val="F64B57"/>
          </a:solidFill>
          <a:ln>
            <a:noFill/>
          </a:ln>
          <a:effectLst>
            <a:outerShdw blurRad="127000" sx="101000" sy="101000" algn="ctr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endParaRPr lang="pt-BR" sz="1100"/>
          </a:p>
        </xdr:txBody>
      </xdr:sp>
      <xdr:sp macro="" textlink="config!B95">
        <xdr:nvSpPr>
          <xdr:cNvPr id="17" name="CaixaDeTexto 16"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>
          <a:xfrm>
            <a:off x="3382331" y="3170533"/>
            <a:ext cx="884690" cy="43228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28AE3790-C533-4852-A8F7-36FC0C973E44}" type="TxLink">
              <a:rPr lang="en-US" sz="24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0</a:t>
            </a:fld>
            <a:endParaRPr lang="en-US" sz="24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00000000-0008-0000-0600-000017000000}"/>
              </a:ext>
            </a:extLst>
          </xdr:cNvPr>
          <xdr:cNvSpPr txBox="1"/>
        </xdr:nvSpPr>
        <xdr:spPr>
          <a:xfrm>
            <a:off x="3430399" y="3575992"/>
            <a:ext cx="788554" cy="34436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r>
              <a:rPr lang="en-US" sz="8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t>Tarefas Pendentes</a:t>
            </a:r>
          </a:p>
        </xdr:txBody>
      </xdr:sp>
      <xdr:sp macro="" textlink="config!D95">
        <xdr:nvSpPr>
          <xdr:cNvPr id="24" name="CaixaDeTexto 23">
            <a:extLst>
              <a:ext uri="{FF2B5EF4-FFF2-40B4-BE49-F238E27FC236}">
                <a16:creationId xmlns:a16="http://schemas.microsoft.com/office/drawing/2014/main" id="{00000000-0008-0000-0600-000018000000}"/>
              </a:ext>
            </a:extLst>
          </xdr:cNvPr>
          <xdr:cNvSpPr txBox="1"/>
        </xdr:nvSpPr>
        <xdr:spPr>
          <a:xfrm>
            <a:off x="3550492" y="3864884"/>
            <a:ext cx="548368" cy="19730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F926408C-4F7C-4990-A5FD-26E8D4C7BE49}" type="TxLink">
              <a:rPr lang="en-US" sz="9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-</a:t>
            </a:fld>
            <a:endParaRPr lang="en-US" sz="9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xdr:graphicFrame macro="">
        <xdr:nvGraphicFramePr>
          <xdr:cNvPr id="25" name="Gráfico 24">
            <a:extLst>
              <a:ext uri="{FF2B5EF4-FFF2-40B4-BE49-F238E27FC236}">
                <a16:creationId xmlns:a16="http://schemas.microsoft.com/office/drawing/2014/main" id="{00000000-0008-0000-0600-000019000000}"/>
              </a:ext>
            </a:extLst>
          </xdr:cNvPr>
          <xdr:cNvGraphicFramePr>
            <a:graphicFrameLocks/>
          </xdr:cNvGraphicFramePr>
        </xdr:nvGraphicFramePr>
        <xdr:xfrm>
          <a:off x="4483100" y="3272063"/>
          <a:ext cx="1514636" cy="7871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28" name="CaixaDeTexto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 txBox="1"/>
        </xdr:nvSpPr>
        <xdr:spPr>
          <a:xfrm>
            <a:off x="4519914" y="3149600"/>
            <a:ext cx="1280435" cy="25173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0" i="0" u="none" strike="noStrike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  <a:ea typeface="Calibri"/>
                <a:cs typeface="Calibri"/>
              </a:rPr>
              <a:t>Pendentes por Prioridade</a:t>
            </a:r>
          </a:p>
        </xdr:txBody>
      </xdr:sp>
      <xdr:sp macro="" textlink="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600-00001D000000}"/>
              </a:ext>
            </a:extLst>
          </xdr:cNvPr>
          <xdr:cNvSpPr txBox="1"/>
        </xdr:nvSpPr>
        <xdr:spPr>
          <a:xfrm>
            <a:off x="6351436" y="3149600"/>
            <a:ext cx="1444998" cy="25173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0" i="0" u="none" strike="noStrike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  <a:ea typeface="Calibri"/>
                <a:cs typeface="Calibri"/>
              </a:rPr>
              <a:t>Pendentes por Data Prevista</a:t>
            </a:r>
          </a:p>
        </xdr:txBody>
      </xdr:sp>
      <xdr:graphicFrame macro="">
        <xdr:nvGraphicFramePr>
          <xdr:cNvPr id="30" name="Gráfico 29">
            <a:extLst>
              <a:ext uri="{FF2B5EF4-FFF2-40B4-BE49-F238E27FC236}">
                <a16:creationId xmlns:a16="http://schemas.microsoft.com/office/drawing/2014/main" id="{00000000-0008-0000-0600-00001E000000}"/>
              </a:ext>
            </a:extLst>
          </xdr:cNvPr>
          <xdr:cNvGraphicFramePr>
            <a:graphicFrameLocks/>
          </xdr:cNvGraphicFramePr>
        </xdr:nvGraphicFramePr>
        <xdr:xfrm>
          <a:off x="6230253" y="3278867"/>
          <a:ext cx="1517357" cy="7871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>
    <xdr:from>
      <xdr:col>0</xdr:col>
      <xdr:colOff>120650</xdr:colOff>
      <xdr:row>16</xdr:row>
      <xdr:rowOff>38100</xdr:rowOff>
    </xdr:from>
    <xdr:to>
      <xdr:col>13</xdr:col>
      <xdr:colOff>533400</xdr:colOff>
      <xdr:row>22</xdr:row>
      <xdr:rowOff>101600</xdr:rowOff>
    </xdr:to>
    <xdr:sp macro="" textlink="">
      <xdr:nvSpPr>
        <xdr:cNvPr id="36" name="Retângulo: Cantos Arredondados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/>
      </xdr:nvSpPr>
      <xdr:spPr>
        <a:xfrm>
          <a:off x="120650" y="3086100"/>
          <a:ext cx="7912100" cy="1206500"/>
        </a:xfrm>
        <a:prstGeom prst="roundRect">
          <a:avLst>
            <a:gd name="adj" fmla="val 5473"/>
          </a:avLst>
        </a:prstGeom>
        <a:noFill/>
        <a:ln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263769</xdr:colOff>
      <xdr:row>2</xdr:row>
      <xdr:rowOff>80596</xdr:rowOff>
    </xdr:from>
    <xdr:ext cx="184731" cy="264560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3492744" y="4615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1</xdr:col>
      <xdr:colOff>21982</xdr:colOff>
      <xdr:row>0</xdr:row>
      <xdr:rowOff>43963</xdr:rowOff>
    </xdr:from>
    <xdr:ext cx="3245826" cy="212479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202957" y="43963"/>
          <a:ext cx="3245826" cy="21247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0">
              <a:solidFill>
                <a:schemeClr val="bg1">
                  <a:lumMod val="50000"/>
                </a:schemeClr>
              </a:solidFill>
            </a:rPr>
            <a:t>Controle de Tarefas 2.0 / Dashboard 3</a:t>
          </a:r>
        </a:p>
      </xdr:txBody>
    </xdr:sp>
    <xdr:clientData/>
  </xdr:oneCellAnchor>
  <xdr:twoCellAnchor>
    <xdr:from>
      <xdr:col>10</xdr:col>
      <xdr:colOff>381000</xdr:colOff>
      <xdr:row>1</xdr:row>
      <xdr:rowOff>136525</xdr:rowOff>
    </xdr:from>
    <xdr:to>
      <xdr:col>13</xdr:col>
      <xdr:colOff>533400</xdr:colOff>
      <xdr:row>2</xdr:row>
      <xdr:rowOff>174625</xdr:rowOff>
    </xdr:to>
    <xdr:grpSp>
      <xdr:nvGrpSpPr>
        <xdr:cNvPr id="52" name="Agrupa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/>
      </xdr:nvGrpSpPr>
      <xdr:grpSpPr>
        <a:xfrm>
          <a:off x="6051550" y="327025"/>
          <a:ext cx="1981200" cy="228600"/>
          <a:chOff x="6184900" y="327025"/>
          <a:chExt cx="1981200" cy="228600"/>
        </a:xfrm>
      </xdr:grpSpPr>
      <xdr:sp macro="" textlink="config!B109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>
          <a:xfrm>
            <a:off x="7437805" y="333325"/>
            <a:ext cx="540000" cy="216000"/>
          </a:xfrm>
          <a:prstGeom prst="roundRect">
            <a:avLst>
              <a:gd name="adj" fmla="val 16668"/>
            </a:avLst>
          </a:prstGeom>
          <a:solidFill>
            <a:schemeClr val="tx1">
              <a:lumMod val="65000"/>
              <a:lumOff val="35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CADA4AEC-EE0C-46B2-A01D-18385FF4DC59}" type="TxLink">
              <a:rPr lang="en-US" sz="11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2024</a:t>
            </a:fld>
            <a:endParaRPr lang="en-US" sz="11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8433" name="Spinner 1" hidden="1">
                <a:extLst>
                  <a:ext uri="{63B3BB69-23CF-44E3-9099-C40C66FF867C}">
                    <a14:compatExt spid="_x0000_s18433"/>
                  </a:ext>
                  <a:ext uri="{FF2B5EF4-FFF2-40B4-BE49-F238E27FC236}">
                    <a16:creationId xmlns:a16="http://schemas.microsoft.com/office/drawing/2014/main" id="{00000000-0008-0000-0700-000001480000}"/>
                  </a:ext>
                </a:extLst>
              </xdr:cNvPr>
              <xdr:cNvSpPr/>
            </xdr:nvSpPr>
            <xdr:spPr bwMode="auto">
              <a:xfrm>
                <a:off x="8013700" y="327025"/>
                <a:ext cx="152400" cy="2286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  <xdr:sp macro="" textlink="config!B112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>
          <a:xfrm>
            <a:off x="6184900" y="333325"/>
            <a:ext cx="894624" cy="216000"/>
          </a:xfrm>
          <a:prstGeom prst="roundRect">
            <a:avLst>
              <a:gd name="adj" fmla="val 16668"/>
            </a:avLst>
          </a:prstGeom>
          <a:solidFill>
            <a:schemeClr val="tx1">
              <a:lumMod val="65000"/>
              <a:lumOff val="35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8136AAA8-50B9-4F85-A316-BA13113D0D9C}" type="TxLink">
              <a:rPr lang="en-US" sz="11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marL="0" indent="0" algn="ctr"/>
              <a:t>Março</a:t>
            </a:fld>
            <a:endParaRPr lang="en-US" sz="11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8434" name="Spinner 2" hidden="1">
                <a:extLst>
                  <a:ext uri="{63B3BB69-23CF-44E3-9099-C40C66FF867C}">
                    <a14:compatExt spid="_x0000_s18434"/>
                  </a:ext>
                  <a:ext uri="{FF2B5EF4-FFF2-40B4-BE49-F238E27FC236}">
                    <a16:creationId xmlns:a16="http://schemas.microsoft.com/office/drawing/2014/main" id="{00000000-0008-0000-0700-000002480000}"/>
                  </a:ext>
                </a:extLst>
              </xdr:cNvPr>
              <xdr:cNvSpPr/>
            </xdr:nvSpPr>
            <xdr:spPr bwMode="auto">
              <a:xfrm>
                <a:off x="7127875" y="327025"/>
                <a:ext cx="142875" cy="2286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</xdr:grpSp>
    <xdr:clientData/>
  </xdr:twoCellAnchor>
  <xdr:twoCellAnchor editAs="absolute">
    <xdr:from>
      <xdr:col>0</xdr:col>
      <xdr:colOff>127000</xdr:colOff>
      <xdr:row>1</xdr:row>
      <xdr:rowOff>57150</xdr:rowOff>
    </xdr:from>
    <xdr:to>
      <xdr:col>8</xdr:col>
      <xdr:colOff>368300</xdr:colOff>
      <xdr:row>3</xdr:row>
      <xdr:rowOff>49821</xdr:rowOff>
    </xdr:to>
    <xdr:sp macro="" textlink="config!B106">
      <xdr:nvSpPr>
        <xdr:cNvPr id="7" name="CaixaDeTexto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127000" y="247650"/>
          <a:ext cx="4689475" cy="373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fld id="{D333453C-27B2-4890-8898-1FD5A5F8EFB1}" type="TxLink">
            <a:rPr lang="en-US" sz="20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rPr>
            <a:pPr/>
            <a:t>Análise por Responsável</a:t>
          </a:fld>
          <a:endParaRPr lang="en-US" sz="2000" b="1" i="0" u="none" strike="noStrike">
            <a:solidFill>
              <a:schemeClr val="tx1">
                <a:lumMod val="75000"/>
                <a:lumOff val="2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1</xdr:col>
      <xdr:colOff>107950</xdr:colOff>
      <xdr:row>3</xdr:row>
      <xdr:rowOff>44450</xdr:rowOff>
    </xdr:from>
    <xdr:to>
      <xdr:col>14</xdr:col>
      <xdr:colOff>69850</xdr:colOff>
      <xdr:row>3</xdr:row>
      <xdr:rowOff>44450</xdr:rowOff>
    </xdr:to>
    <xdr:cxnSp macro="">
      <xdr:nvCxnSpPr>
        <xdr:cNvPr id="15" name="Conector reto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>
          <a:off x="288925" y="615950"/>
          <a:ext cx="7886700" cy="0"/>
        </a:xfrm>
        <a:prstGeom prst="line">
          <a:avLst/>
        </a:prstGeom>
        <a:ln>
          <a:solidFill>
            <a:schemeClr val="bg1">
              <a:lumMod val="50000"/>
              <a:alpha val="3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114301</xdr:colOff>
      <xdr:row>15</xdr:row>
      <xdr:rowOff>63501</xdr:rowOff>
    </xdr:from>
    <xdr:to>
      <xdr:col>7</xdr:col>
      <xdr:colOff>184150</xdr:colOff>
      <xdr:row>22</xdr:row>
      <xdr:rowOff>62001</xdr:rowOff>
    </xdr:to>
    <xdr:grpSp>
      <xdr:nvGrpSpPr>
        <xdr:cNvPr id="42" name="Agrupa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GrpSpPr/>
      </xdr:nvGrpSpPr>
      <xdr:grpSpPr>
        <a:xfrm>
          <a:off x="114301" y="2921001"/>
          <a:ext cx="3911599" cy="1332000"/>
          <a:chOff x="114301" y="3117851"/>
          <a:chExt cx="3911599" cy="1332000"/>
        </a:xfrm>
      </xdr:grpSpPr>
      <xdr:sp macro="" textlink="">
        <xdr:nvSpPr>
          <xdr:cNvPr id="40" name="Retângulo: Cantos Arredondados 39">
            <a:extLst>
              <a:ext uri="{FF2B5EF4-FFF2-40B4-BE49-F238E27FC236}">
                <a16:creationId xmlns:a16="http://schemas.microsoft.com/office/drawing/2014/main" id="{00000000-0008-0000-0700-000028000000}"/>
              </a:ext>
            </a:extLst>
          </xdr:cNvPr>
          <xdr:cNvSpPr/>
        </xdr:nvSpPr>
        <xdr:spPr>
          <a:xfrm>
            <a:off x="133350" y="3117851"/>
            <a:ext cx="3888000" cy="1332000"/>
          </a:xfrm>
          <a:prstGeom prst="roundRect">
            <a:avLst>
              <a:gd name="adj" fmla="val 2052"/>
            </a:avLst>
          </a:prstGeom>
          <a:solidFill>
            <a:sysClr val="window" lastClr="FFFFFF"/>
          </a:solidFill>
          <a:ln>
            <a:noFill/>
          </a:ln>
          <a:effectLst>
            <a:outerShdw blurRad="127000" sx="101000" sy="101000" algn="ctr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config!B135">
        <xdr:nvSpPr>
          <xdr:cNvPr id="35" name="CaixaDeTexto 34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 txBox="1"/>
        </xdr:nvSpPr>
        <xdr:spPr>
          <a:xfrm>
            <a:off x="165100" y="3143251"/>
            <a:ext cx="2914650" cy="2603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/>
            <a:fld id="{295571A4-A377-4B80-BBBB-9AA8631F861F}" type="TxLink">
              <a:rPr lang="en-US" sz="9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ea typeface="Calibri"/>
                <a:cs typeface="Calibri"/>
              </a:rPr>
              <a:pPr marL="0" indent="0"/>
              <a:t>Top 5 Responsáveis com mais Tarefas Pendentes</a:t>
            </a:fld>
            <a:endParaRPr lang="en-US" sz="9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  <xdr:graphicFrame macro="">
        <xdr:nvGraphicFramePr>
          <xdr:cNvPr id="37" name="Gráfico 36">
            <a:extLst>
              <a:ext uri="{FF2B5EF4-FFF2-40B4-BE49-F238E27FC236}">
                <a16:creationId xmlns:a16="http://schemas.microsoft.com/office/drawing/2014/main" id="{00000000-0008-0000-0700-000025000000}"/>
              </a:ext>
            </a:extLst>
          </xdr:cNvPr>
          <xdr:cNvGraphicFramePr>
            <a:graphicFrameLocks/>
          </xdr:cNvGraphicFramePr>
        </xdr:nvGraphicFramePr>
        <xdr:xfrm>
          <a:off x="114301" y="3390900"/>
          <a:ext cx="3911599" cy="9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7</xdr:col>
      <xdr:colOff>330200</xdr:colOff>
      <xdr:row>15</xdr:row>
      <xdr:rowOff>63501</xdr:rowOff>
    </xdr:from>
    <xdr:to>
      <xdr:col>13</xdr:col>
      <xdr:colOff>565150</xdr:colOff>
      <xdr:row>22</xdr:row>
      <xdr:rowOff>62001</xdr:rowOff>
    </xdr:to>
    <xdr:grpSp>
      <xdr:nvGrpSpPr>
        <xdr:cNvPr id="43" name="Agrupa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/>
      </xdr:nvGrpSpPr>
      <xdr:grpSpPr>
        <a:xfrm>
          <a:off x="4171950" y="2921001"/>
          <a:ext cx="3892550" cy="1332000"/>
          <a:chOff x="4171950" y="3117851"/>
          <a:chExt cx="3892550" cy="1332000"/>
        </a:xfrm>
      </xdr:grpSpPr>
      <xdr:sp macro="" textlink="">
        <xdr:nvSpPr>
          <xdr:cNvPr id="41" name="Retângulo: Cantos Arredondados 40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/>
        </xdr:nvSpPr>
        <xdr:spPr>
          <a:xfrm>
            <a:off x="4171950" y="3117851"/>
            <a:ext cx="3888000" cy="1332000"/>
          </a:xfrm>
          <a:prstGeom prst="roundRect">
            <a:avLst>
              <a:gd name="adj" fmla="val 2052"/>
            </a:avLst>
          </a:prstGeom>
          <a:solidFill>
            <a:sysClr val="window" lastClr="FFFFFF"/>
          </a:solidFill>
          <a:ln>
            <a:noFill/>
          </a:ln>
          <a:effectLst>
            <a:outerShdw blurRad="127000" sx="101000" sy="101000" algn="ctr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config!E135">
        <xdr:nvSpPr>
          <xdr:cNvPr id="36" name="CaixaDeTexto 35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SpPr txBox="1"/>
        </xdr:nvSpPr>
        <xdr:spPr>
          <a:xfrm>
            <a:off x="4210050" y="3143251"/>
            <a:ext cx="2914650" cy="2603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/>
            <a:fld id="{D535B103-2160-4B9C-8FF1-08ECDABCE5E8}" type="TxLink">
              <a:rPr lang="en-US" sz="9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ea typeface="Calibri"/>
                <a:cs typeface="Calibri"/>
              </a:rPr>
              <a:pPr marL="0" indent="0"/>
              <a:t>Top 5 Responsáveis com mais Tarefas Finalizadas</a:t>
            </a:fld>
            <a:endParaRPr lang="en-US" sz="9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  <xdr:graphicFrame macro="">
        <xdr:nvGraphicFramePr>
          <xdr:cNvPr id="38" name="Gráfico 37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GraphicFramePr>
            <a:graphicFrameLocks/>
          </xdr:cNvGraphicFramePr>
        </xdr:nvGraphicFramePr>
        <xdr:xfrm>
          <a:off x="4203700" y="3390900"/>
          <a:ext cx="3860800" cy="9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0</xdr:col>
      <xdr:colOff>130908</xdr:colOff>
      <xdr:row>3</xdr:row>
      <xdr:rowOff>165101</xdr:rowOff>
    </xdr:from>
    <xdr:to>
      <xdr:col>13</xdr:col>
      <xdr:colOff>551962</xdr:colOff>
      <xdr:row>14</xdr:row>
      <xdr:rowOff>101601</xdr:rowOff>
    </xdr:to>
    <xdr:grpSp>
      <xdr:nvGrpSpPr>
        <xdr:cNvPr id="45" name="Agrupa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GrpSpPr/>
      </xdr:nvGrpSpPr>
      <xdr:grpSpPr>
        <a:xfrm>
          <a:off x="130908" y="736601"/>
          <a:ext cx="7920404" cy="2032000"/>
          <a:chOff x="130908" y="844551"/>
          <a:chExt cx="7920404" cy="2032000"/>
        </a:xfrm>
      </xdr:grpSpPr>
      <xdr:sp macro="" textlink="">
        <xdr:nvSpPr>
          <xdr:cNvPr id="8" name="Retângulo: Cantos Arredondados 7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/>
        </xdr:nvSpPr>
        <xdr:spPr>
          <a:xfrm>
            <a:off x="130908" y="857251"/>
            <a:ext cx="7920404" cy="2019300"/>
          </a:xfrm>
          <a:prstGeom prst="roundRect">
            <a:avLst>
              <a:gd name="adj" fmla="val 2052"/>
            </a:avLst>
          </a:prstGeom>
          <a:solidFill>
            <a:sysClr val="window" lastClr="FFFFFF"/>
          </a:solidFill>
          <a:ln>
            <a:noFill/>
          </a:ln>
          <a:effectLst>
            <a:outerShdw blurRad="127000" sx="101000" sy="101000" algn="ctr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aphicFrame macro="">
        <xdr:nvGraphicFramePr>
          <xdr:cNvPr id="10" name="Gráfico 9"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GraphicFramePr>
            <a:graphicFrameLocks/>
          </xdr:cNvGraphicFramePr>
        </xdr:nvGraphicFramePr>
        <xdr:xfrm>
          <a:off x="148493" y="1111251"/>
          <a:ext cx="7433407" cy="168909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8437" name="Spinner 5" hidden="1">
                <a:extLst>
                  <a:ext uri="{63B3BB69-23CF-44E3-9099-C40C66FF867C}">
                    <a14:compatExt spid="_x0000_s18437"/>
                  </a:ext>
                  <a:ext uri="{FF2B5EF4-FFF2-40B4-BE49-F238E27FC236}">
                    <a16:creationId xmlns:a16="http://schemas.microsoft.com/office/drawing/2014/main" id="{00000000-0008-0000-0700-000005480000}"/>
                  </a:ext>
                </a:extLst>
              </xdr:cNvPr>
              <xdr:cNvSpPr/>
            </xdr:nvSpPr>
            <xdr:spPr bwMode="auto">
              <a:xfrm>
                <a:off x="7654925" y="1082675"/>
                <a:ext cx="301625" cy="14636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  <xdr:cxnSp macro="">
        <xdr:nvCxnSpPr>
          <xdr:cNvPr id="28" name="Conector de Seta Reta 27">
            <a:extLst>
              <a:ext uri="{FF2B5EF4-FFF2-40B4-BE49-F238E27FC236}">
                <a16:creationId xmlns:a16="http://schemas.microsoft.com/office/drawing/2014/main" id="{00000000-0008-0000-0700-00001C000000}"/>
              </a:ext>
            </a:extLst>
          </xdr:cNvPr>
          <xdr:cNvCxnSpPr>
            <a:stCxn id="29" idx="3"/>
          </xdr:cNvCxnSpPr>
        </xdr:nvCxnSpPr>
        <xdr:spPr>
          <a:xfrm>
            <a:off x="7664450" y="952501"/>
            <a:ext cx="141287" cy="130174"/>
          </a:xfrm>
          <a:prstGeom prst="straightConnector1">
            <a:avLst/>
          </a:prstGeom>
          <a:ln>
            <a:solidFill>
              <a:srgbClr val="3899FC"/>
            </a:solidFill>
            <a:prstDash val="sysDash"/>
            <a:headEnd w="sm" len="med"/>
            <a:tailEnd type="triangle" w="sm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 txBox="1"/>
        </xdr:nvSpPr>
        <xdr:spPr>
          <a:xfrm>
            <a:off x="6635750" y="882651"/>
            <a:ext cx="1028700" cy="139699"/>
          </a:xfrm>
          <a:prstGeom prst="rect">
            <a:avLst/>
          </a:prstGeom>
          <a:solidFill>
            <a:srgbClr val="3899FC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t>rolagem</a:t>
            </a:r>
            <a:r>
              <a:rPr lang="en-US" sz="800" b="1" i="0" u="none" strike="noStrike" baseline="0">
                <a:solidFill>
                  <a:schemeClr val="bg1"/>
                </a:solidFill>
                <a:latin typeface="Calibri"/>
                <a:ea typeface="Calibri"/>
                <a:cs typeface="Calibri"/>
              </a:rPr>
              <a:t> do gráfico</a:t>
            </a:r>
            <a:endParaRPr lang="en-US" sz="8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endParaRPr>
          </a:p>
        </xdr:txBody>
      </xdr:sp>
      <xdr:sp macro="" textlink="config!D119">
        <xdr:nvSpPr>
          <xdr:cNvPr id="39" name="CaixaDeTexto 38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SpPr txBox="1"/>
        </xdr:nvSpPr>
        <xdr:spPr>
          <a:xfrm>
            <a:off x="4025900" y="844551"/>
            <a:ext cx="2800350" cy="234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fld id="{4F673EB1-9071-44F6-ABEE-C0F4579B5F2E}" type="TxLink">
              <a:rPr lang="en-US" sz="800" b="1" i="0" u="none" strike="noStrike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pPr/>
              <a:t>Mostrando responsável cadastrado 1 até o cadastrado 11</a:t>
            </a:fld>
            <a:endParaRPr lang="en-US" sz="105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1.%20ZEPLANILHA\02.%20Zeplanilha%203.0\12.%20Downloads\01.%20Dashboards\Dashboard85.xlsx" TargetMode="External"/><Relationship Id="rId1" Type="http://schemas.openxmlformats.org/officeDocument/2006/relationships/externalLinkPath" Target="/01.%20ZEPLANILHA/02.%20Zeplanilha%203.0/12.%20Downloads/01.%20Dashboards/Dashboard8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é Planilha"/>
      <sheetName val="Dashboard"/>
      <sheetName val="Dados"/>
      <sheetName val="Logotipos"/>
    </sheetNames>
    <sheetDataSet>
      <sheetData sheetId="0"/>
      <sheetData sheetId="1"/>
      <sheetData sheetId="2">
        <row r="16">
          <cell r="K16" t="str">
            <v>Guerreiros</v>
          </cell>
        </row>
        <row r="17">
          <cell r="K17" t="str">
            <v>Spartans</v>
          </cell>
        </row>
        <row r="18">
          <cell r="K18" t="str">
            <v>Águia</v>
          </cell>
        </row>
        <row r="19">
          <cell r="K19" t="str">
            <v>HorsePower</v>
          </cell>
        </row>
      </sheetData>
      <sheetData sheetId="3">
        <row r="2">
          <cell r="B2" t="str">
            <v>Spartans</v>
          </cell>
        </row>
        <row r="3">
          <cell r="B3" t="str">
            <v>Águia</v>
          </cell>
        </row>
        <row r="4">
          <cell r="B4" t="str">
            <v>HorsePower</v>
          </cell>
        </row>
        <row r="5">
          <cell r="B5" t="str">
            <v>Guerreiros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6.xml"/><Relationship Id="rId4" Type="http://schemas.openxmlformats.org/officeDocument/2006/relationships/ctrlProp" Target="../ctrlProps/ctrlProp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7.xml"/><Relationship Id="rId4" Type="http://schemas.openxmlformats.org/officeDocument/2006/relationships/ctrlProp" Target="../ctrlProps/ctrlProp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6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BC92B-CE29-4CE4-904D-312F7ABB8524}">
  <sheetPr codeName="Planilha7">
    <tabColor theme="1"/>
  </sheetPr>
  <dimension ref="A2:B7"/>
  <sheetViews>
    <sheetView showGridLines="0" tabSelected="1" workbookViewId="0">
      <selection activeCell="P10" sqref="P10"/>
    </sheetView>
  </sheetViews>
  <sheetFormatPr defaultRowHeight="15" x14ac:dyDescent="0.25"/>
  <cols>
    <col min="1" max="1" width="3" style="40" customWidth="1"/>
    <col min="2" max="16384" width="9.140625" style="40"/>
  </cols>
  <sheetData>
    <row r="2" spans="1:2" ht="31.5" x14ac:dyDescent="0.5">
      <c r="B2" s="41" t="s">
        <v>100</v>
      </c>
    </row>
    <row r="3" spans="1:2" x14ac:dyDescent="0.25">
      <c r="A3" s="42" t="s">
        <v>101</v>
      </c>
      <c r="B3" s="40" t="s">
        <v>102</v>
      </c>
    </row>
    <row r="7" spans="1:2" x14ac:dyDescent="0.25">
      <c r="A7" s="42" t="s">
        <v>101</v>
      </c>
      <c r="B7" s="40" t="s">
        <v>103</v>
      </c>
    </row>
  </sheetData>
  <sheetProtection algorithmName="SHA-512" hashValue="uBjlz4YU6hobE+8TGfNNw6smHK4ol67Ajjrp/R6PLhlSs3jcPE7SWXsvDEZF4jwFsyEkgiSKTwMakBgMv8v1lQ==" saltValue="MKObMDWYHVw7g4phWCaoLA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834DA-9628-49EC-A82B-7407B2D9CE3E}">
  <sheetPr codeName="Planilha8">
    <tabColor theme="1"/>
  </sheetPr>
  <dimension ref="D10"/>
  <sheetViews>
    <sheetView showGridLines="0" workbookViewId="0"/>
  </sheetViews>
  <sheetFormatPr defaultRowHeight="15" x14ac:dyDescent="0.25"/>
  <cols>
    <col min="1" max="16384" width="9.140625" style="44"/>
  </cols>
  <sheetData>
    <row r="10" spans="4:4" x14ac:dyDescent="0.25">
      <c r="D10" s="43"/>
    </row>
  </sheetData>
  <sheetProtection algorithmName="SHA-512" hashValue="YEb5fX49xQtw/EmamdQhJ4cOq6ZmFp5o3yjIeDjr5hXwUm4su25+SPbfHjhwx4DQOUxssbPf89k7KhO2cfJc6w==" saltValue="l2Jjv5JxpUcUvou7XfKm8w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1FBCE-36A6-4916-B232-85648D3A8C7F}">
  <sheetPr codeName="Planilha2">
    <tabColor rgb="FF29D1B5"/>
  </sheetPr>
  <dimension ref="A2:Y55"/>
  <sheetViews>
    <sheetView showGridLines="0" workbookViewId="0"/>
  </sheetViews>
  <sheetFormatPr defaultRowHeight="15" x14ac:dyDescent="0.25"/>
  <cols>
    <col min="1" max="1" width="8.85546875" style="45" customWidth="1"/>
    <col min="2" max="2" width="28.5703125" style="46" customWidth="1"/>
    <col min="3" max="3" width="7.85546875" style="45" customWidth="1"/>
    <col min="4" max="4" width="5.28515625" style="45" customWidth="1"/>
    <col min="5" max="5" width="28.5703125" style="45" customWidth="1"/>
    <col min="6" max="6" width="7.85546875" style="45" customWidth="1"/>
    <col min="7" max="7" width="5.28515625" style="45" customWidth="1"/>
    <col min="8" max="8" width="28.5703125" style="45" customWidth="1"/>
    <col min="9" max="17" width="9.140625" style="45"/>
    <col min="18" max="18" width="12.85546875" style="54" hidden="1" customWidth="1"/>
    <col min="19" max="19" width="10.7109375" style="55" hidden="1" customWidth="1"/>
    <col min="20" max="20" width="2" style="45" hidden="1" customWidth="1"/>
    <col min="21" max="25" width="0" style="45" hidden="1" customWidth="1"/>
    <col min="26" max="16384" width="9.140625" style="45"/>
  </cols>
  <sheetData>
    <row r="2" spans="1:25" ht="15" customHeight="1" x14ac:dyDescent="0.25">
      <c r="R2" s="78" t="s">
        <v>83</v>
      </c>
      <c r="S2" s="78"/>
      <c r="T2" s="78"/>
      <c r="U2" s="78"/>
      <c r="V2" s="78"/>
      <c r="W2" s="78"/>
      <c r="X2" s="78"/>
      <c r="Y2" s="78"/>
    </row>
    <row r="3" spans="1:25" ht="15" customHeight="1" x14ac:dyDescent="0.25">
      <c r="R3" s="79" t="s">
        <v>78</v>
      </c>
      <c r="S3" s="79" t="s">
        <v>75</v>
      </c>
      <c r="U3" s="79" t="s">
        <v>79</v>
      </c>
      <c r="X3" s="79" t="s">
        <v>84</v>
      </c>
      <c r="Y3" s="79" t="s">
        <v>85</v>
      </c>
    </row>
    <row r="4" spans="1:25" s="47" customFormat="1" ht="21.75" customHeight="1" x14ac:dyDescent="0.3">
      <c r="B4" s="48" t="s">
        <v>1</v>
      </c>
      <c r="E4" s="48" t="s">
        <v>9</v>
      </c>
      <c r="H4" s="48" t="s">
        <v>2</v>
      </c>
      <c r="R4" s="79"/>
      <c r="S4" s="79"/>
      <c r="U4" s="79"/>
      <c r="X4" s="79"/>
      <c r="Y4" s="79"/>
    </row>
    <row r="5" spans="1:25" x14ac:dyDescent="0.25">
      <c r="A5" s="49">
        <v>1</v>
      </c>
      <c r="B5" s="56" t="s">
        <v>44</v>
      </c>
      <c r="D5" s="49">
        <v>1</v>
      </c>
      <c r="E5" s="56" t="s">
        <v>45</v>
      </c>
      <c r="G5" s="49">
        <v>1</v>
      </c>
      <c r="H5" s="57" t="s">
        <v>47</v>
      </c>
      <c r="R5" s="51">
        <f>IF(B5="","",COUNTIFS(Tarefas!$A:$A,"&gt;="&amp;iniciomes,Tarefas!$A:$A,"&lt;="&amp;config!$B$50,Tarefas!$J:$J,"Pendente",Tarefas!$D:$D,B5))</f>
        <v>0</v>
      </c>
      <c r="S5" s="52">
        <f>IF(B5="","",R5+ROW()/10000000)</f>
        <v>4.9999999999999998E-7</v>
      </c>
      <c r="U5" s="51">
        <f>IF(E5="","",COUNTIFS(Tarefas!$A:$A,"&gt;="&amp;iniciomes,Tarefas!$A:$A,"&lt;="&amp;config!$B$50,Tarefas!$J:$J,"Pendente",Tarefas!$C:$C,E5))</f>
        <v>0</v>
      </c>
      <c r="V5" s="52">
        <f>IF(E5="","",U5+ROW()/10000000)</f>
        <v>4.9999999999999998E-7</v>
      </c>
      <c r="X5" s="51">
        <f>IF(E5="","",COUNTIFS(Tarefas!$A:$A,"&gt;="&amp;config!$B$82,Tarefas!$A:$A,"&lt;="&amp;config!$B$83,Tarefas!$C:$C,E5))</f>
        <v>0</v>
      </c>
      <c r="Y5" s="51">
        <f>IF(E5="","",COUNTIFS(Tarefas!$A:$A,"&gt;="&amp;config!$B$82,Tarefas!$A:$A,"&lt;="&amp;config!$B$83,Tarefas!$C:$C,E5,Tarefas!$J:$J,"Pendente"))</f>
        <v>0</v>
      </c>
    </row>
    <row r="6" spans="1:25" x14ac:dyDescent="0.25">
      <c r="A6" s="49">
        <v>2</v>
      </c>
      <c r="B6" s="56"/>
      <c r="D6" s="49">
        <v>2</v>
      </c>
      <c r="E6" s="56"/>
      <c r="G6" s="49">
        <v>2</v>
      </c>
      <c r="H6" s="57" t="s">
        <v>48</v>
      </c>
      <c r="R6" s="51" t="str">
        <f>IF(B6="","",COUNTIFS(Tarefas!$A:$A,"&gt;="&amp;iniciomes,Tarefas!$A:$A,"&lt;="&amp;config!$B$50,Tarefas!$J:$J,"Pendente",Tarefas!$D:$D,B6))</f>
        <v/>
      </c>
      <c r="S6" s="52" t="str">
        <f t="shared" ref="S6:S7" si="0">IF(B6="","",R6+ROW()/10000000)</f>
        <v/>
      </c>
      <c r="U6" s="51" t="str">
        <f>IF(E6="","",COUNTIFS(Tarefas!$A:$A,"&gt;="&amp;iniciomes,Tarefas!$A:$A,"&lt;="&amp;config!$B$50,Tarefas!$J:$J,"Pendente",Tarefas!$C:$C,E6))</f>
        <v/>
      </c>
      <c r="V6" s="52" t="str">
        <f t="shared" ref="V6:V19" si="1">IF(E6="","",U6+ROW()/10000000)</f>
        <v/>
      </c>
      <c r="X6" s="51" t="str">
        <f>IF(E6="","",COUNTIFS(Tarefas!$A:$A,"&gt;="&amp;config!$B$82,Tarefas!$A:$A,"&lt;="&amp;config!$B$83,Tarefas!$C:$C,E6))</f>
        <v/>
      </c>
      <c r="Y6" s="51" t="str">
        <f>IF(E6="","",COUNTIFS(Tarefas!$A:$A,"&gt;="&amp;config!$B$82,Tarefas!$A:$A,"&lt;="&amp;config!$B$83,Tarefas!$C:$C,E6,Tarefas!$J:$J,"Pendente"))</f>
        <v/>
      </c>
    </row>
    <row r="7" spans="1:25" x14ac:dyDescent="0.25">
      <c r="A7" s="49">
        <v>3</v>
      </c>
      <c r="B7" s="56"/>
      <c r="D7" s="49">
        <v>3</v>
      </c>
      <c r="E7" s="50"/>
      <c r="G7" s="49">
        <v>3</v>
      </c>
      <c r="H7" s="57" t="s">
        <v>49</v>
      </c>
      <c r="R7" s="51" t="str">
        <f>IF(B7="","",COUNTIFS(Tarefas!$A:$A,"&gt;="&amp;iniciomes,Tarefas!$A:$A,"&lt;="&amp;config!$B$50,Tarefas!$J:$J,"Pendente",Tarefas!$D:$D,B7))</f>
        <v/>
      </c>
      <c r="S7" s="52" t="str">
        <f t="shared" si="0"/>
        <v/>
      </c>
      <c r="U7" s="51" t="str">
        <f>IF(E7="","",COUNTIFS(Tarefas!$A:$A,"&gt;="&amp;iniciomes,Tarefas!$A:$A,"&lt;="&amp;config!$B$50,Tarefas!$J:$J,"Pendente",Tarefas!$C:$C,E7))</f>
        <v/>
      </c>
      <c r="V7" s="52" t="str">
        <f t="shared" si="1"/>
        <v/>
      </c>
      <c r="X7" s="51" t="str">
        <f>IF(E7="","",COUNTIFS(Tarefas!$A:$A,"&gt;="&amp;config!$B$82,Tarefas!$A:$A,"&lt;="&amp;config!$B$83,Tarefas!$C:$C,E7))</f>
        <v/>
      </c>
      <c r="Y7" s="51" t="str">
        <f>IF(E7="","",COUNTIFS(Tarefas!$A:$A,"&gt;="&amp;config!$B$82,Tarefas!$A:$A,"&lt;="&amp;config!$B$83,Tarefas!$C:$C,E7,Tarefas!$J:$J,"Pendente"))</f>
        <v/>
      </c>
    </row>
    <row r="8" spans="1:25" x14ac:dyDescent="0.25">
      <c r="A8" s="49">
        <v>4</v>
      </c>
      <c r="B8" s="50"/>
      <c r="D8" s="49">
        <v>4</v>
      </c>
      <c r="E8" s="50"/>
      <c r="G8" s="80" t="s">
        <v>46</v>
      </c>
      <c r="H8" s="81"/>
      <c r="R8" s="51" t="str">
        <f>IF(B8="","",COUNTIFS(Tarefas!$A:$A,"&gt;="&amp;iniciomes,Tarefas!$A:$A,"&lt;="&amp;config!$B$50,Tarefas!$J:$J,"Pendente",Tarefas!$D:$D,B8))</f>
        <v/>
      </c>
      <c r="S8" s="52" t="str">
        <f t="shared" ref="S8:S54" si="2">IF(B8="","",R8+ROW()/10000000)</f>
        <v/>
      </c>
      <c r="U8" s="51" t="str">
        <f>IF(E8="","",COUNTIFS(Tarefas!$A:$A,"&gt;="&amp;iniciomes,Tarefas!$A:$A,"&lt;="&amp;config!$B$50,Tarefas!$J:$J,"Pendente",Tarefas!$C:$C,E8))</f>
        <v/>
      </c>
      <c r="V8" s="52" t="str">
        <f t="shared" si="1"/>
        <v/>
      </c>
      <c r="X8" s="51" t="str">
        <f>IF(E8="","",COUNTIFS(Tarefas!$A:$A,"&gt;="&amp;config!$B$82,Tarefas!$A:$A,"&lt;="&amp;config!$B$83,Tarefas!$C:$C,E8))</f>
        <v/>
      </c>
      <c r="Y8" s="51" t="str">
        <f>IF(E8="","",COUNTIFS(Tarefas!$A:$A,"&gt;="&amp;config!$B$82,Tarefas!$A:$A,"&lt;="&amp;config!$B$83,Tarefas!$C:$C,E8,Tarefas!$J:$J,"Pendente"))</f>
        <v/>
      </c>
    </row>
    <row r="9" spans="1:25" x14ac:dyDescent="0.25">
      <c r="A9" s="49">
        <v>5</v>
      </c>
      <c r="B9" s="50"/>
      <c r="D9" s="49">
        <v>5</v>
      </c>
      <c r="E9" s="50"/>
      <c r="R9" s="51" t="str">
        <f>IF(B9="","",COUNTIFS(Tarefas!$A:$A,"&gt;="&amp;iniciomes,Tarefas!$A:$A,"&lt;="&amp;config!$B$50,Tarefas!$J:$J,"Pendente",Tarefas!$D:$D,B9))</f>
        <v/>
      </c>
      <c r="S9" s="52" t="str">
        <f t="shared" si="2"/>
        <v/>
      </c>
      <c r="U9" s="51" t="str">
        <f>IF(E9="","",COUNTIFS(Tarefas!$A:$A,"&gt;="&amp;iniciomes,Tarefas!$A:$A,"&lt;="&amp;config!$B$50,Tarefas!$J:$J,"Pendente",Tarefas!$C:$C,E9))</f>
        <v/>
      </c>
      <c r="V9" s="52" t="str">
        <f t="shared" si="1"/>
        <v/>
      </c>
      <c r="X9" s="51" t="str">
        <f>IF(E9="","",COUNTIFS(Tarefas!$A:$A,"&gt;="&amp;config!$B$82,Tarefas!$A:$A,"&lt;="&amp;config!$B$83,Tarefas!$C:$C,E9))</f>
        <v/>
      </c>
      <c r="Y9" s="51" t="str">
        <f>IF(E9="","",COUNTIFS(Tarefas!$A:$A,"&gt;="&amp;config!$B$82,Tarefas!$A:$A,"&lt;="&amp;config!$B$83,Tarefas!$C:$C,E9,Tarefas!$J:$J,"Pendente"))</f>
        <v/>
      </c>
    </row>
    <row r="10" spans="1:25" x14ac:dyDescent="0.25">
      <c r="A10" s="49">
        <v>6</v>
      </c>
      <c r="B10" s="50"/>
      <c r="D10" s="49">
        <v>6</v>
      </c>
      <c r="E10" s="50"/>
      <c r="G10" s="80"/>
      <c r="H10" s="81"/>
      <c r="R10" s="51" t="str">
        <f>IF(B10="","",COUNTIFS(Tarefas!$A:$A,"&gt;="&amp;iniciomes,Tarefas!$A:$A,"&lt;="&amp;config!$B$50,Tarefas!$J:$J,"Pendente",Tarefas!$D:$D,B10))</f>
        <v/>
      </c>
      <c r="S10" s="52" t="str">
        <f t="shared" si="2"/>
        <v/>
      </c>
      <c r="U10" s="51" t="str">
        <f>IF(E10="","",COUNTIFS(Tarefas!$A:$A,"&gt;="&amp;iniciomes,Tarefas!$A:$A,"&lt;="&amp;config!$B$50,Tarefas!$J:$J,"Pendente",Tarefas!$C:$C,E10))</f>
        <v/>
      </c>
      <c r="V10" s="52" t="str">
        <f t="shared" si="1"/>
        <v/>
      </c>
      <c r="X10" s="51" t="str">
        <f>IF(E10="","",COUNTIFS(Tarefas!$A:$A,"&gt;="&amp;config!$B$82,Tarefas!$A:$A,"&lt;="&amp;config!$B$83,Tarefas!$C:$C,E10))</f>
        <v/>
      </c>
      <c r="Y10" s="51" t="str">
        <f>IF(E10="","",COUNTIFS(Tarefas!$A:$A,"&gt;="&amp;config!$B$82,Tarefas!$A:$A,"&lt;="&amp;config!$B$83,Tarefas!$C:$C,E10,Tarefas!$J:$J,"Pendente"))</f>
        <v/>
      </c>
    </row>
    <row r="11" spans="1:25" x14ac:dyDescent="0.25">
      <c r="A11" s="49">
        <v>7</v>
      </c>
      <c r="B11" s="50"/>
      <c r="D11" s="49">
        <v>7</v>
      </c>
      <c r="E11" s="50"/>
      <c r="H11" s="53"/>
      <c r="R11" s="51" t="str">
        <f>IF(B11="","",COUNTIFS(Tarefas!$A:$A,"&gt;="&amp;iniciomes,Tarefas!$A:$A,"&lt;="&amp;config!$B$50,Tarefas!$J:$J,"Pendente",Tarefas!$D:$D,B11))</f>
        <v/>
      </c>
      <c r="S11" s="52" t="str">
        <f t="shared" si="2"/>
        <v/>
      </c>
      <c r="U11" s="51" t="str">
        <f>IF(E11="","",COUNTIFS(Tarefas!$A:$A,"&gt;="&amp;iniciomes,Tarefas!$A:$A,"&lt;="&amp;config!$B$50,Tarefas!$J:$J,"Pendente",Tarefas!$C:$C,E11))</f>
        <v/>
      </c>
      <c r="V11" s="52" t="str">
        <f t="shared" si="1"/>
        <v/>
      </c>
      <c r="X11" s="51" t="str">
        <f>IF(E11="","",COUNTIFS(Tarefas!$A:$A,"&gt;="&amp;config!$B$82,Tarefas!$A:$A,"&lt;="&amp;config!$B$83,Tarefas!$C:$C,E11))</f>
        <v/>
      </c>
      <c r="Y11" s="51" t="str">
        <f>IF(E11="","",COUNTIFS(Tarefas!$A:$A,"&gt;="&amp;config!$B$82,Tarefas!$A:$A,"&lt;="&amp;config!$B$83,Tarefas!$C:$C,E11,Tarefas!$J:$J,"Pendente"))</f>
        <v/>
      </c>
    </row>
    <row r="12" spans="1:25" x14ac:dyDescent="0.25">
      <c r="A12" s="49">
        <v>8</v>
      </c>
      <c r="B12" s="50"/>
      <c r="D12" s="49">
        <v>8</v>
      </c>
      <c r="E12" s="50"/>
      <c r="R12" s="51" t="str">
        <f>IF(B12="","",COUNTIFS(Tarefas!$A:$A,"&gt;="&amp;iniciomes,Tarefas!$A:$A,"&lt;="&amp;config!$B$50,Tarefas!$J:$J,"Pendente",Tarefas!$D:$D,B12))</f>
        <v/>
      </c>
      <c r="S12" s="52" t="str">
        <f t="shared" si="2"/>
        <v/>
      </c>
      <c r="U12" s="51" t="str">
        <f>IF(E12="","",COUNTIFS(Tarefas!$A:$A,"&gt;="&amp;iniciomes,Tarefas!$A:$A,"&lt;="&amp;config!$B$50,Tarefas!$J:$J,"Pendente",Tarefas!$C:$C,E12))</f>
        <v/>
      </c>
      <c r="V12" s="52" t="str">
        <f t="shared" si="1"/>
        <v/>
      </c>
      <c r="X12" s="51" t="str">
        <f>IF(E12="","",COUNTIFS(Tarefas!$A:$A,"&gt;="&amp;config!$B$82,Tarefas!$A:$A,"&lt;="&amp;config!$B$83,Tarefas!$C:$C,E12))</f>
        <v/>
      </c>
      <c r="Y12" s="51" t="str">
        <f>IF(E12="","",COUNTIFS(Tarefas!$A:$A,"&gt;="&amp;config!$B$82,Tarefas!$A:$A,"&lt;="&amp;config!$B$83,Tarefas!$C:$C,E12,Tarefas!$J:$J,"Pendente"))</f>
        <v/>
      </c>
    </row>
    <row r="13" spans="1:25" x14ac:dyDescent="0.25">
      <c r="A13" s="49">
        <v>9</v>
      </c>
      <c r="B13" s="50"/>
      <c r="D13" s="49">
        <v>9</v>
      </c>
      <c r="E13" s="50"/>
      <c r="R13" s="51" t="str">
        <f>IF(B13="","",COUNTIFS(Tarefas!$A:$A,"&gt;="&amp;iniciomes,Tarefas!$A:$A,"&lt;="&amp;config!$B$50,Tarefas!$J:$J,"Pendente",Tarefas!$D:$D,B13))</f>
        <v/>
      </c>
      <c r="S13" s="52" t="str">
        <f t="shared" si="2"/>
        <v/>
      </c>
      <c r="U13" s="51" t="str">
        <f>IF(E13="","",COUNTIFS(Tarefas!$A:$A,"&gt;="&amp;iniciomes,Tarefas!$A:$A,"&lt;="&amp;config!$B$50,Tarefas!$J:$J,"Pendente",Tarefas!$C:$C,E13))</f>
        <v/>
      </c>
      <c r="V13" s="52" t="str">
        <f t="shared" si="1"/>
        <v/>
      </c>
      <c r="X13" s="51" t="str">
        <f>IF(E13="","",COUNTIFS(Tarefas!$A:$A,"&gt;="&amp;config!$B$82,Tarefas!$A:$A,"&lt;="&amp;config!$B$83,Tarefas!$C:$C,E13))</f>
        <v/>
      </c>
      <c r="Y13" s="51" t="str">
        <f>IF(E13="","",COUNTIFS(Tarefas!$A:$A,"&gt;="&amp;config!$B$82,Tarefas!$A:$A,"&lt;="&amp;config!$B$83,Tarefas!$C:$C,E13,Tarefas!$J:$J,"Pendente"))</f>
        <v/>
      </c>
    </row>
    <row r="14" spans="1:25" x14ac:dyDescent="0.25">
      <c r="A14" s="49">
        <v>10</v>
      </c>
      <c r="B14" s="50"/>
      <c r="D14" s="49">
        <v>10</v>
      </c>
      <c r="E14" s="50"/>
      <c r="R14" s="51" t="str">
        <f>IF(B14="","",COUNTIFS(Tarefas!$A:$A,"&gt;="&amp;iniciomes,Tarefas!$A:$A,"&lt;="&amp;config!$B$50,Tarefas!$J:$J,"Pendente",Tarefas!$D:$D,B14))</f>
        <v/>
      </c>
      <c r="S14" s="52" t="str">
        <f t="shared" si="2"/>
        <v/>
      </c>
      <c r="U14" s="51" t="str">
        <f>IF(E14="","",COUNTIFS(Tarefas!$A:$A,"&gt;="&amp;iniciomes,Tarefas!$A:$A,"&lt;="&amp;config!$B$50,Tarefas!$J:$J,"Pendente",Tarefas!$C:$C,E14))</f>
        <v/>
      </c>
      <c r="V14" s="52" t="str">
        <f t="shared" si="1"/>
        <v/>
      </c>
      <c r="X14" s="51" t="str">
        <f>IF(E14="","",COUNTIFS(Tarefas!$A:$A,"&gt;="&amp;config!$B$82,Tarefas!$A:$A,"&lt;="&amp;config!$B$83,Tarefas!$C:$C,E14))</f>
        <v/>
      </c>
      <c r="Y14" s="51" t="str">
        <f>IF(E14="","",COUNTIFS(Tarefas!$A:$A,"&gt;="&amp;config!$B$82,Tarefas!$A:$A,"&lt;="&amp;config!$B$83,Tarefas!$C:$C,E14,Tarefas!$J:$J,"Pendente"))</f>
        <v/>
      </c>
    </row>
    <row r="15" spans="1:25" x14ac:dyDescent="0.25">
      <c r="A15" s="49">
        <v>11</v>
      </c>
      <c r="B15" s="50"/>
      <c r="D15" s="49">
        <v>11</v>
      </c>
      <c r="E15" s="50"/>
      <c r="R15" s="51" t="str">
        <f>IF(B15="","",COUNTIFS(Tarefas!$A:$A,"&gt;="&amp;iniciomes,Tarefas!$A:$A,"&lt;="&amp;config!$B$50,Tarefas!$J:$J,"Pendente",Tarefas!$D:$D,B15))</f>
        <v/>
      </c>
      <c r="S15" s="52" t="str">
        <f t="shared" si="2"/>
        <v/>
      </c>
      <c r="U15" s="51" t="str">
        <f>IF(E15="","",COUNTIFS(Tarefas!$A:$A,"&gt;="&amp;iniciomes,Tarefas!$A:$A,"&lt;="&amp;config!$B$50,Tarefas!$J:$J,"Pendente",Tarefas!$C:$C,E15))</f>
        <v/>
      </c>
      <c r="V15" s="52" t="str">
        <f t="shared" si="1"/>
        <v/>
      </c>
      <c r="X15" s="51" t="str">
        <f>IF(E15="","",COUNTIFS(Tarefas!$A:$A,"&gt;="&amp;config!$B$82,Tarefas!$A:$A,"&lt;="&amp;config!$B$83,Tarefas!$C:$C,E15))</f>
        <v/>
      </c>
      <c r="Y15" s="51" t="str">
        <f>IF(E15="","",COUNTIFS(Tarefas!$A:$A,"&gt;="&amp;config!$B$82,Tarefas!$A:$A,"&lt;="&amp;config!$B$83,Tarefas!$C:$C,E15,Tarefas!$J:$J,"Pendente"))</f>
        <v/>
      </c>
    </row>
    <row r="16" spans="1:25" x14ac:dyDescent="0.25">
      <c r="A16" s="49">
        <v>12</v>
      </c>
      <c r="B16" s="50"/>
      <c r="D16" s="49">
        <v>12</v>
      </c>
      <c r="E16" s="50"/>
      <c r="R16" s="51" t="str">
        <f>IF(B16="","",COUNTIFS(Tarefas!$A:$A,"&gt;="&amp;iniciomes,Tarefas!$A:$A,"&lt;="&amp;config!$B$50,Tarefas!$J:$J,"Pendente",Tarefas!$D:$D,B16))</f>
        <v/>
      </c>
      <c r="S16" s="52" t="str">
        <f t="shared" si="2"/>
        <v/>
      </c>
      <c r="U16" s="51" t="str">
        <f>IF(E16="","",COUNTIFS(Tarefas!$A:$A,"&gt;="&amp;iniciomes,Tarefas!$A:$A,"&lt;="&amp;config!$B$50,Tarefas!$J:$J,"Pendente",Tarefas!$C:$C,E16))</f>
        <v/>
      </c>
      <c r="V16" s="52" t="str">
        <f t="shared" si="1"/>
        <v/>
      </c>
      <c r="X16" s="51" t="str">
        <f>IF(E16="","",COUNTIFS(Tarefas!$A:$A,"&gt;="&amp;config!$B$82,Tarefas!$A:$A,"&lt;="&amp;config!$B$83,Tarefas!$C:$C,E16))</f>
        <v/>
      </c>
      <c r="Y16" s="51" t="str">
        <f>IF(E16="","",COUNTIFS(Tarefas!$A:$A,"&gt;="&amp;config!$B$82,Tarefas!$A:$A,"&lt;="&amp;config!$B$83,Tarefas!$C:$C,E16,Tarefas!$J:$J,"Pendente"))</f>
        <v/>
      </c>
    </row>
    <row r="17" spans="1:25" x14ac:dyDescent="0.25">
      <c r="A17" s="49">
        <v>13</v>
      </c>
      <c r="B17" s="50"/>
      <c r="D17" s="49">
        <v>13</v>
      </c>
      <c r="E17" s="50"/>
      <c r="R17" s="51" t="str">
        <f>IF(B17="","",COUNTIFS(Tarefas!$A:$A,"&gt;="&amp;iniciomes,Tarefas!$A:$A,"&lt;="&amp;config!$B$50,Tarefas!$J:$J,"Pendente",Tarefas!$D:$D,B17))</f>
        <v/>
      </c>
      <c r="S17" s="52" t="str">
        <f t="shared" si="2"/>
        <v/>
      </c>
      <c r="U17" s="51" t="str">
        <f>IF(E17="","",COUNTIFS(Tarefas!$A:$A,"&gt;="&amp;iniciomes,Tarefas!$A:$A,"&lt;="&amp;config!$B$50,Tarefas!$J:$J,"Pendente",Tarefas!$C:$C,E17))</f>
        <v/>
      </c>
      <c r="V17" s="52" t="str">
        <f t="shared" si="1"/>
        <v/>
      </c>
      <c r="X17" s="51" t="str">
        <f>IF(E17="","",COUNTIFS(Tarefas!$A:$A,"&gt;="&amp;config!$B$82,Tarefas!$A:$A,"&lt;="&amp;config!$B$83,Tarefas!$C:$C,E17))</f>
        <v/>
      </c>
      <c r="Y17" s="51" t="str">
        <f>IF(E17="","",COUNTIFS(Tarefas!$A:$A,"&gt;="&amp;config!$B$82,Tarefas!$A:$A,"&lt;="&amp;config!$B$83,Tarefas!$C:$C,E17,Tarefas!$J:$J,"Pendente"))</f>
        <v/>
      </c>
    </row>
    <row r="18" spans="1:25" x14ac:dyDescent="0.25">
      <c r="A18" s="49">
        <v>14</v>
      </c>
      <c r="B18" s="50"/>
      <c r="D18" s="49">
        <v>14</v>
      </c>
      <c r="E18" s="50"/>
      <c r="R18" s="51" t="str">
        <f>IF(B18="","",COUNTIFS(Tarefas!$A:$A,"&gt;="&amp;iniciomes,Tarefas!$A:$A,"&lt;="&amp;config!$B$50,Tarefas!$J:$J,"Pendente",Tarefas!$D:$D,B18))</f>
        <v/>
      </c>
      <c r="S18" s="52" t="str">
        <f t="shared" si="2"/>
        <v/>
      </c>
      <c r="U18" s="51" t="str">
        <f>IF(E18="","",COUNTIFS(Tarefas!$A:$A,"&gt;="&amp;iniciomes,Tarefas!$A:$A,"&lt;="&amp;config!$B$50,Tarefas!$J:$J,"Pendente",Tarefas!$C:$C,E18))</f>
        <v/>
      </c>
      <c r="V18" s="52" t="str">
        <f t="shared" si="1"/>
        <v/>
      </c>
      <c r="X18" s="51" t="str">
        <f>IF(E18="","",COUNTIFS(Tarefas!$A:$A,"&gt;="&amp;config!$B$82,Tarefas!$A:$A,"&lt;="&amp;config!$B$83,Tarefas!$C:$C,E18))</f>
        <v/>
      </c>
      <c r="Y18" s="51" t="str">
        <f>IF(E18="","",COUNTIFS(Tarefas!$A:$A,"&gt;="&amp;config!$B$82,Tarefas!$A:$A,"&lt;="&amp;config!$B$83,Tarefas!$C:$C,E18,Tarefas!$J:$J,"Pendente"))</f>
        <v/>
      </c>
    </row>
    <row r="19" spans="1:25" x14ac:dyDescent="0.25">
      <c r="A19" s="49">
        <v>15</v>
      </c>
      <c r="B19" s="50"/>
      <c r="D19" s="49">
        <v>15</v>
      </c>
      <c r="E19" s="50"/>
      <c r="R19" s="51" t="str">
        <f>IF(B19="","",COUNTIFS(Tarefas!$A:$A,"&gt;="&amp;iniciomes,Tarefas!$A:$A,"&lt;="&amp;config!$B$50,Tarefas!$J:$J,"Pendente",Tarefas!$D:$D,B19))</f>
        <v/>
      </c>
      <c r="S19" s="52" t="str">
        <f t="shared" si="2"/>
        <v/>
      </c>
      <c r="U19" s="51" t="str">
        <f>IF(E19="","",COUNTIFS(Tarefas!$A:$A,"&gt;="&amp;iniciomes,Tarefas!$A:$A,"&lt;="&amp;config!$B$50,Tarefas!$J:$J,"Pendente",Tarefas!$C:$C,E19))</f>
        <v/>
      </c>
      <c r="V19" s="52" t="str">
        <f t="shared" si="1"/>
        <v/>
      </c>
      <c r="X19" s="51" t="str">
        <f>IF(E19="","",COUNTIFS(Tarefas!$A:$A,"&gt;="&amp;config!$B$82,Tarefas!$A:$A,"&lt;="&amp;config!$B$83,Tarefas!$C:$C,E19))</f>
        <v/>
      </c>
      <c r="Y19" s="51" t="str">
        <f>IF(E19="","",COUNTIFS(Tarefas!$A:$A,"&gt;="&amp;config!$B$82,Tarefas!$A:$A,"&lt;="&amp;config!$B$83,Tarefas!$C:$C,E19,Tarefas!$J:$J,"Pendente"))</f>
        <v/>
      </c>
    </row>
    <row r="20" spans="1:25" x14ac:dyDescent="0.25">
      <c r="A20" s="49">
        <v>16</v>
      </c>
      <c r="B20" s="50"/>
      <c r="D20" s="80" t="s">
        <v>46</v>
      </c>
      <c r="E20" s="81"/>
      <c r="R20" s="51" t="str">
        <f>IF(B20="","",COUNTIFS(Tarefas!$A:$A,"&gt;="&amp;iniciomes,Tarefas!$A:$A,"&lt;="&amp;config!$B$50,Tarefas!$J:$J,"Pendente",Tarefas!$D:$D,B20))</f>
        <v/>
      </c>
      <c r="S20" s="52" t="str">
        <f t="shared" si="2"/>
        <v/>
      </c>
    </row>
    <row r="21" spans="1:25" x14ac:dyDescent="0.25">
      <c r="A21" s="49">
        <v>17</v>
      </c>
      <c r="B21" s="50"/>
      <c r="R21" s="51" t="str">
        <f>IF(B21="","",COUNTIFS(Tarefas!$A:$A,"&gt;="&amp;iniciomes,Tarefas!$A:$A,"&lt;="&amp;config!$B$50,Tarefas!$J:$J,"Pendente",Tarefas!$D:$D,B21))</f>
        <v/>
      </c>
      <c r="S21" s="52" t="str">
        <f t="shared" si="2"/>
        <v/>
      </c>
    </row>
    <row r="22" spans="1:25" x14ac:dyDescent="0.25">
      <c r="A22" s="49">
        <v>18</v>
      </c>
      <c r="B22" s="50"/>
      <c r="R22" s="51" t="str">
        <f>IF(B22="","",COUNTIFS(Tarefas!$A:$A,"&gt;="&amp;iniciomes,Tarefas!$A:$A,"&lt;="&amp;config!$B$50,Tarefas!$J:$J,"Pendente",Tarefas!$D:$D,B22))</f>
        <v/>
      </c>
      <c r="S22" s="52" t="str">
        <f t="shared" si="2"/>
        <v/>
      </c>
    </row>
    <row r="23" spans="1:25" x14ac:dyDescent="0.25">
      <c r="A23" s="49">
        <v>19</v>
      </c>
      <c r="B23" s="50"/>
      <c r="R23" s="51" t="str">
        <f>IF(B23="","",COUNTIFS(Tarefas!$A:$A,"&gt;="&amp;iniciomes,Tarefas!$A:$A,"&lt;="&amp;config!$B$50,Tarefas!$J:$J,"Pendente",Tarefas!$D:$D,B23))</f>
        <v/>
      </c>
      <c r="S23" s="52" t="str">
        <f t="shared" si="2"/>
        <v/>
      </c>
    </row>
    <row r="24" spans="1:25" x14ac:dyDescent="0.25">
      <c r="A24" s="49">
        <v>20</v>
      </c>
      <c r="B24" s="50"/>
      <c r="R24" s="51" t="str">
        <f>IF(B24="","",COUNTIFS(Tarefas!$A:$A,"&gt;="&amp;iniciomes,Tarefas!$A:$A,"&lt;="&amp;config!$B$50,Tarefas!$J:$J,"Pendente",Tarefas!$D:$D,B24))</f>
        <v/>
      </c>
      <c r="S24" s="52" t="str">
        <f t="shared" si="2"/>
        <v/>
      </c>
    </row>
    <row r="25" spans="1:25" x14ac:dyDescent="0.25">
      <c r="A25" s="49">
        <v>21</v>
      </c>
      <c r="B25" s="50"/>
      <c r="R25" s="51" t="str">
        <f>IF(B25="","",COUNTIFS(Tarefas!$A:$A,"&gt;="&amp;iniciomes,Tarefas!$A:$A,"&lt;="&amp;config!$B$50,Tarefas!$J:$J,"Pendente",Tarefas!$D:$D,B25))</f>
        <v/>
      </c>
      <c r="S25" s="52" t="str">
        <f t="shared" si="2"/>
        <v/>
      </c>
    </row>
    <row r="26" spans="1:25" x14ac:dyDescent="0.25">
      <c r="A26" s="49">
        <v>22</v>
      </c>
      <c r="B26" s="50"/>
      <c r="R26" s="51" t="str">
        <f>IF(B26="","",COUNTIFS(Tarefas!$A:$A,"&gt;="&amp;iniciomes,Tarefas!$A:$A,"&lt;="&amp;config!$B$50,Tarefas!$J:$J,"Pendente",Tarefas!$D:$D,B26))</f>
        <v/>
      </c>
      <c r="S26" s="52" t="str">
        <f t="shared" si="2"/>
        <v/>
      </c>
    </row>
    <row r="27" spans="1:25" x14ac:dyDescent="0.25">
      <c r="A27" s="49">
        <v>23</v>
      </c>
      <c r="B27" s="50"/>
      <c r="R27" s="51" t="str">
        <f>IF(B27="","",COUNTIFS(Tarefas!$A:$A,"&gt;="&amp;iniciomes,Tarefas!$A:$A,"&lt;="&amp;config!$B$50,Tarefas!$J:$J,"Pendente",Tarefas!$D:$D,B27))</f>
        <v/>
      </c>
      <c r="S27" s="52" t="str">
        <f t="shared" si="2"/>
        <v/>
      </c>
    </row>
    <row r="28" spans="1:25" x14ac:dyDescent="0.25">
      <c r="A28" s="49">
        <v>24</v>
      </c>
      <c r="B28" s="50"/>
      <c r="R28" s="51" t="str">
        <f>IF(B28="","",COUNTIFS(Tarefas!$A:$A,"&gt;="&amp;iniciomes,Tarefas!$A:$A,"&lt;="&amp;config!$B$50,Tarefas!$J:$J,"Pendente",Tarefas!$D:$D,B28))</f>
        <v/>
      </c>
      <c r="S28" s="52" t="str">
        <f t="shared" si="2"/>
        <v/>
      </c>
    </row>
    <row r="29" spans="1:25" x14ac:dyDescent="0.25">
      <c r="A29" s="49">
        <v>25</v>
      </c>
      <c r="B29" s="50"/>
      <c r="R29" s="51" t="str">
        <f>IF(B29="","",COUNTIFS(Tarefas!$A:$A,"&gt;="&amp;iniciomes,Tarefas!$A:$A,"&lt;="&amp;config!$B$50,Tarefas!$J:$J,"Pendente",Tarefas!$D:$D,B29))</f>
        <v/>
      </c>
      <c r="S29" s="52" t="str">
        <f t="shared" si="2"/>
        <v/>
      </c>
    </row>
    <row r="30" spans="1:25" x14ac:dyDescent="0.25">
      <c r="A30" s="49">
        <v>26</v>
      </c>
      <c r="B30" s="50"/>
      <c r="R30" s="51" t="str">
        <f>IF(B30="","",COUNTIFS(Tarefas!$A:$A,"&gt;="&amp;iniciomes,Tarefas!$A:$A,"&lt;="&amp;config!$B$50,Tarefas!$J:$J,"Pendente",Tarefas!$D:$D,B30))</f>
        <v/>
      </c>
      <c r="S30" s="52" t="str">
        <f t="shared" si="2"/>
        <v/>
      </c>
    </row>
    <row r="31" spans="1:25" x14ac:dyDescent="0.25">
      <c r="A31" s="49">
        <v>27</v>
      </c>
      <c r="B31" s="50"/>
      <c r="R31" s="51" t="str">
        <f>IF(B31="","",COUNTIFS(Tarefas!$A:$A,"&gt;="&amp;iniciomes,Tarefas!$A:$A,"&lt;="&amp;config!$B$50,Tarefas!$J:$J,"Pendente",Tarefas!$D:$D,B31))</f>
        <v/>
      </c>
      <c r="S31" s="52" t="str">
        <f t="shared" si="2"/>
        <v/>
      </c>
    </row>
    <row r="32" spans="1:25" x14ac:dyDescent="0.25">
      <c r="A32" s="49">
        <v>28</v>
      </c>
      <c r="B32" s="50"/>
      <c r="R32" s="51" t="str">
        <f>IF(B32="","",COUNTIFS(Tarefas!$A:$A,"&gt;="&amp;iniciomes,Tarefas!$A:$A,"&lt;="&amp;config!$B$50,Tarefas!$J:$J,"Pendente",Tarefas!$D:$D,B32))</f>
        <v/>
      </c>
      <c r="S32" s="52" t="str">
        <f t="shared" si="2"/>
        <v/>
      </c>
    </row>
    <row r="33" spans="1:19" x14ac:dyDescent="0.25">
      <c r="A33" s="49">
        <v>29</v>
      </c>
      <c r="B33" s="50"/>
      <c r="R33" s="51" t="str">
        <f>IF(B33="","",COUNTIFS(Tarefas!$A:$A,"&gt;="&amp;iniciomes,Tarefas!$A:$A,"&lt;="&amp;config!$B$50,Tarefas!$J:$J,"Pendente",Tarefas!$D:$D,B33))</f>
        <v/>
      </c>
      <c r="S33" s="52" t="str">
        <f t="shared" si="2"/>
        <v/>
      </c>
    </row>
    <row r="34" spans="1:19" x14ac:dyDescent="0.25">
      <c r="A34" s="49">
        <v>30</v>
      </c>
      <c r="B34" s="50"/>
      <c r="R34" s="51" t="str">
        <f>IF(B34="","",COUNTIFS(Tarefas!$A:$A,"&gt;="&amp;iniciomes,Tarefas!$A:$A,"&lt;="&amp;config!$B$50,Tarefas!$J:$J,"Pendente",Tarefas!$D:$D,B34))</f>
        <v/>
      </c>
      <c r="S34" s="52" t="str">
        <f t="shared" si="2"/>
        <v/>
      </c>
    </row>
    <row r="35" spans="1:19" x14ac:dyDescent="0.25">
      <c r="A35" s="49">
        <v>31</v>
      </c>
      <c r="B35" s="50"/>
      <c r="R35" s="51" t="str">
        <f>IF(B35="","",COUNTIFS(Tarefas!$A:$A,"&gt;="&amp;iniciomes,Tarefas!$A:$A,"&lt;="&amp;config!$B$50,Tarefas!$J:$J,"Pendente",Tarefas!$D:$D,B35))</f>
        <v/>
      </c>
      <c r="S35" s="52" t="str">
        <f t="shared" si="2"/>
        <v/>
      </c>
    </row>
    <row r="36" spans="1:19" x14ac:dyDescent="0.25">
      <c r="A36" s="49">
        <v>32</v>
      </c>
      <c r="B36" s="50"/>
      <c r="R36" s="51" t="str">
        <f>IF(B36="","",COUNTIFS(Tarefas!$A:$A,"&gt;="&amp;iniciomes,Tarefas!$A:$A,"&lt;="&amp;config!$B$50,Tarefas!$J:$J,"Pendente",Tarefas!$D:$D,B36))</f>
        <v/>
      </c>
      <c r="S36" s="52" t="str">
        <f t="shared" si="2"/>
        <v/>
      </c>
    </row>
    <row r="37" spans="1:19" x14ac:dyDescent="0.25">
      <c r="A37" s="49">
        <v>33</v>
      </c>
      <c r="B37" s="50"/>
      <c r="R37" s="51" t="str">
        <f>IF(B37="","",COUNTIFS(Tarefas!$A:$A,"&gt;="&amp;iniciomes,Tarefas!$A:$A,"&lt;="&amp;config!$B$50,Tarefas!$J:$J,"Pendente",Tarefas!$D:$D,B37))</f>
        <v/>
      </c>
      <c r="S37" s="52" t="str">
        <f t="shared" si="2"/>
        <v/>
      </c>
    </row>
    <row r="38" spans="1:19" x14ac:dyDescent="0.25">
      <c r="A38" s="49">
        <v>34</v>
      </c>
      <c r="B38" s="50"/>
      <c r="R38" s="51" t="str">
        <f>IF(B38="","",COUNTIFS(Tarefas!$A:$A,"&gt;="&amp;iniciomes,Tarefas!$A:$A,"&lt;="&amp;config!$B$50,Tarefas!$J:$J,"Pendente",Tarefas!$D:$D,B38))</f>
        <v/>
      </c>
      <c r="S38" s="52" t="str">
        <f t="shared" si="2"/>
        <v/>
      </c>
    </row>
    <row r="39" spans="1:19" x14ac:dyDescent="0.25">
      <c r="A39" s="49">
        <v>35</v>
      </c>
      <c r="B39" s="50"/>
      <c r="R39" s="51" t="str">
        <f>IF(B39="","",COUNTIFS(Tarefas!$A:$A,"&gt;="&amp;iniciomes,Tarefas!$A:$A,"&lt;="&amp;config!$B$50,Tarefas!$J:$J,"Pendente",Tarefas!$D:$D,B39))</f>
        <v/>
      </c>
      <c r="S39" s="52" t="str">
        <f t="shared" si="2"/>
        <v/>
      </c>
    </row>
    <row r="40" spans="1:19" x14ac:dyDescent="0.25">
      <c r="A40" s="49">
        <v>36</v>
      </c>
      <c r="B40" s="50"/>
      <c r="R40" s="51" t="str">
        <f>IF(B40="","",COUNTIFS(Tarefas!$A:$A,"&gt;="&amp;iniciomes,Tarefas!$A:$A,"&lt;="&amp;config!$B$50,Tarefas!$J:$J,"Pendente",Tarefas!$D:$D,B40))</f>
        <v/>
      </c>
      <c r="S40" s="52" t="str">
        <f t="shared" si="2"/>
        <v/>
      </c>
    </row>
    <row r="41" spans="1:19" x14ac:dyDescent="0.25">
      <c r="A41" s="49">
        <v>37</v>
      </c>
      <c r="B41" s="50"/>
      <c r="R41" s="51" t="str">
        <f>IF(B41="","",COUNTIFS(Tarefas!$A:$A,"&gt;="&amp;iniciomes,Tarefas!$A:$A,"&lt;="&amp;config!$B$50,Tarefas!$J:$J,"Pendente",Tarefas!$D:$D,B41))</f>
        <v/>
      </c>
      <c r="S41" s="52" t="str">
        <f t="shared" si="2"/>
        <v/>
      </c>
    </row>
    <row r="42" spans="1:19" x14ac:dyDescent="0.25">
      <c r="A42" s="49">
        <v>38</v>
      </c>
      <c r="B42" s="50"/>
      <c r="R42" s="51" t="str">
        <f>IF(B42="","",COUNTIFS(Tarefas!$A:$A,"&gt;="&amp;iniciomes,Tarefas!$A:$A,"&lt;="&amp;config!$B$50,Tarefas!$J:$J,"Pendente",Tarefas!$D:$D,B42))</f>
        <v/>
      </c>
      <c r="S42" s="52" t="str">
        <f t="shared" si="2"/>
        <v/>
      </c>
    </row>
    <row r="43" spans="1:19" x14ac:dyDescent="0.25">
      <c r="A43" s="49">
        <v>39</v>
      </c>
      <c r="B43" s="50"/>
      <c r="R43" s="51" t="str">
        <f>IF(B43="","",COUNTIFS(Tarefas!$A:$A,"&gt;="&amp;iniciomes,Tarefas!$A:$A,"&lt;="&amp;config!$B$50,Tarefas!$J:$J,"Pendente",Tarefas!$D:$D,B43))</f>
        <v/>
      </c>
      <c r="S43" s="52" t="str">
        <f t="shared" si="2"/>
        <v/>
      </c>
    </row>
    <row r="44" spans="1:19" x14ac:dyDescent="0.25">
      <c r="A44" s="49">
        <v>40</v>
      </c>
      <c r="B44" s="50"/>
      <c r="R44" s="51" t="str">
        <f>IF(B44="","",COUNTIFS(Tarefas!$A:$A,"&gt;="&amp;iniciomes,Tarefas!$A:$A,"&lt;="&amp;config!$B$50,Tarefas!$J:$J,"Pendente",Tarefas!$D:$D,B44))</f>
        <v/>
      </c>
      <c r="S44" s="52" t="str">
        <f t="shared" si="2"/>
        <v/>
      </c>
    </row>
    <row r="45" spans="1:19" x14ac:dyDescent="0.25">
      <c r="A45" s="49">
        <v>41</v>
      </c>
      <c r="B45" s="50"/>
      <c r="R45" s="51" t="str">
        <f>IF(B45="","",COUNTIFS(Tarefas!$A:$A,"&gt;="&amp;iniciomes,Tarefas!$A:$A,"&lt;="&amp;config!$B$50,Tarefas!$J:$J,"Pendente",Tarefas!$D:$D,B45))</f>
        <v/>
      </c>
      <c r="S45" s="52" t="str">
        <f t="shared" si="2"/>
        <v/>
      </c>
    </row>
    <row r="46" spans="1:19" x14ac:dyDescent="0.25">
      <c r="A46" s="49">
        <v>42</v>
      </c>
      <c r="B46" s="50"/>
      <c r="R46" s="51" t="str">
        <f>IF(B46="","",COUNTIFS(Tarefas!$A:$A,"&gt;="&amp;iniciomes,Tarefas!$A:$A,"&lt;="&amp;config!$B$50,Tarefas!$J:$J,"Pendente",Tarefas!$D:$D,B46))</f>
        <v/>
      </c>
      <c r="S46" s="52" t="str">
        <f t="shared" si="2"/>
        <v/>
      </c>
    </row>
    <row r="47" spans="1:19" x14ac:dyDescent="0.25">
      <c r="A47" s="49">
        <v>43</v>
      </c>
      <c r="B47" s="50"/>
      <c r="R47" s="51" t="str">
        <f>IF(B47="","",COUNTIFS(Tarefas!$A:$A,"&gt;="&amp;iniciomes,Tarefas!$A:$A,"&lt;="&amp;config!$B$50,Tarefas!$J:$J,"Pendente",Tarefas!$D:$D,B47))</f>
        <v/>
      </c>
      <c r="S47" s="52" t="str">
        <f t="shared" si="2"/>
        <v/>
      </c>
    </row>
    <row r="48" spans="1:19" x14ac:dyDescent="0.25">
      <c r="A48" s="49">
        <v>44</v>
      </c>
      <c r="B48" s="50"/>
      <c r="R48" s="51" t="str">
        <f>IF(B48="","",COUNTIFS(Tarefas!$A:$A,"&gt;="&amp;iniciomes,Tarefas!$A:$A,"&lt;="&amp;config!$B$50,Tarefas!$J:$J,"Pendente",Tarefas!$D:$D,B48))</f>
        <v/>
      </c>
      <c r="S48" s="52" t="str">
        <f t="shared" si="2"/>
        <v/>
      </c>
    </row>
    <row r="49" spans="1:19" x14ac:dyDescent="0.25">
      <c r="A49" s="49">
        <v>45</v>
      </c>
      <c r="B49" s="50"/>
      <c r="R49" s="51" t="str">
        <f>IF(B49="","",COUNTIFS(Tarefas!$A:$A,"&gt;="&amp;iniciomes,Tarefas!$A:$A,"&lt;="&amp;config!$B$50,Tarefas!$J:$J,"Pendente",Tarefas!$D:$D,B49))</f>
        <v/>
      </c>
      <c r="S49" s="52" t="str">
        <f t="shared" si="2"/>
        <v/>
      </c>
    </row>
    <row r="50" spans="1:19" x14ac:dyDescent="0.25">
      <c r="A50" s="49">
        <v>46</v>
      </c>
      <c r="B50" s="50"/>
      <c r="R50" s="51" t="str">
        <f>IF(B50="","",COUNTIFS(Tarefas!$A:$A,"&gt;="&amp;iniciomes,Tarefas!$A:$A,"&lt;="&amp;config!$B$50,Tarefas!$J:$J,"Pendente",Tarefas!$D:$D,B50))</f>
        <v/>
      </c>
      <c r="S50" s="52" t="str">
        <f t="shared" si="2"/>
        <v/>
      </c>
    </row>
    <row r="51" spans="1:19" x14ac:dyDescent="0.25">
      <c r="A51" s="49">
        <v>47</v>
      </c>
      <c r="B51" s="50"/>
      <c r="R51" s="51" t="str">
        <f>IF(B51="","",COUNTIFS(Tarefas!$A:$A,"&gt;="&amp;iniciomes,Tarefas!$A:$A,"&lt;="&amp;config!$B$50,Tarefas!$J:$J,"Pendente",Tarefas!$D:$D,B51))</f>
        <v/>
      </c>
      <c r="S51" s="52" t="str">
        <f t="shared" si="2"/>
        <v/>
      </c>
    </row>
    <row r="52" spans="1:19" x14ac:dyDescent="0.25">
      <c r="A52" s="49">
        <v>48</v>
      </c>
      <c r="B52" s="50"/>
      <c r="R52" s="51" t="str">
        <f>IF(B52="","",COUNTIFS(Tarefas!$A:$A,"&gt;="&amp;iniciomes,Tarefas!$A:$A,"&lt;="&amp;config!$B$50,Tarefas!$J:$J,"Pendente",Tarefas!$D:$D,B52))</f>
        <v/>
      </c>
      <c r="S52" s="52" t="str">
        <f t="shared" si="2"/>
        <v/>
      </c>
    </row>
    <row r="53" spans="1:19" x14ac:dyDescent="0.25">
      <c r="A53" s="49">
        <v>49</v>
      </c>
      <c r="B53" s="50"/>
      <c r="R53" s="51" t="str">
        <f>IF(B53="","",COUNTIFS(Tarefas!$A:$A,"&gt;="&amp;iniciomes,Tarefas!$A:$A,"&lt;="&amp;config!$B$50,Tarefas!$J:$J,"Pendente",Tarefas!$D:$D,B53))</f>
        <v/>
      </c>
      <c r="S53" s="52" t="str">
        <f t="shared" si="2"/>
        <v/>
      </c>
    </row>
    <row r="54" spans="1:19" x14ac:dyDescent="0.25">
      <c r="A54" s="49">
        <v>50</v>
      </c>
      <c r="B54" s="50"/>
      <c r="R54" s="51" t="str">
        <f>IF(B54="","",COUNTIFS(Tarefas!$A:$A,"&gt;="&amp;iniciomes,Tarefas!$A:$A,"&lt;="&amp;config!$B$50,Tarefas!$J:$J,"Pendente",Tarefas!$D:$D,B54))</f>
        <v/>
      </c>
      <c r="S54" s="52" t="str">
        <f t="shared" si="2"/>
        <v/>
      </c>
    </row>
    <row r="55" spans="1:19" x14ac:dyDescent="0.25">
      <c r="A55" s="80" t="s">
        <v>46</v>
      </c>
      <c r="B55" s="81"/>
      <c r="R55" s="45"/>
      <c r="S55" s="45"/>
    </row>
  </sheetData>
  <sheetProtection algorithmName="SHA-512" hashValue="fWx35BUe8eShXTQulFFHXdU5uALC+1xIy0GP0ZZrtR20rjjg4B22hRwbrds7M/ZSowy+WZyAxy7rlsgzCJzStQ==" saltValue="VbsQ0Trwt/73LAz5yAAYrw==" spinCount="100000" sheet="1" objects="1" scenarios="1"/>
  <mergeCells count="10">
    <mergeCell ref="A55:B55"/>
    <mergeCell ref="D20:E20"/>
    <mergeCell ref="G10:H10"/>
    <mergeCell ref="G8:H8"/>
    <mergeCell ref="R3:R4"/>
    <mergeCell ref="R2:Y2"/>
    <mergeCell ref="X3:X4"/>
    <mergeCell ref="Y3:Y4"/>
    <mergeCell ref="S3:S4"/>
    <mergeCell ref="U3:U4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5F09E-F5D9-43FB-AEEC-019CDA826D61}">
  <sheetPr codeName="Planilha3">
    <tabColor rgb="FF29D1B5"/>
  </sheetPr>
  <dimension ref="A1:J11"/>
  <sheetViews>
    <sheetView showGridLines="0" workbookViewId="0">
      <selection activeCell="C8" sqref="C8"/>
    </sheetView>
  </sheetViews>
  <sheetFormatPr defaultRowHeight="14.25" customHeight="1" x14ac:dyDescent="0.2"/>
  <cols>
    <col min="1" max="1" width="14.85546875" style="69" customWidth="1"/>
    <col min="2" max="2" width="55.5703125" style="69" customWidth="1"/>
    <col min="3" max="3" width="25.7109375" style="69" customWidth="1"/>
    <col min="4" max="5" width="21.140625" style="69" customWidth="1"/>
    <col min="6" max="7" width="28.85546875" style="70" customWidth="1"/>
    <col min="8" max="8" width="26.42578125" style="71" customWidth="1"/>
    <col min="9" max="9" width="18.28515625" style="71" customWidth="1"/>
    <col min="10" max="10" width="16.42578125" style="69" customWidth="1"/>
    <col min="11" max="16384" width="9.140625" style="69"/>
  </cols>
  <sheetData>
    <row r="1" spans="1:10" s="62" customFormat="1" ht="14.25" customHeight="1" x14ac:dyDescent="0.25">
      <c r="A1" s="58" t="s">
        <v>51</v>
      </c>
      <c r="B1" s="59" t="s">
        <v>52</v>
      </c>
      <c r="C1" s="59" t="s">
        <v>52</v>
      </c>
      <c r="D1" s="59" t="s">
        <v>52</v>
      </c>
      <c r="E1" s="59" t="s">
        <v>52</v>
      </c>
      <c r="F1" s="59" t="s">
        <v>52</v>
      </c>
      <c r="G1" s="58" t="s">
        <v>53</v>
      </c>
      <c r="H1" s="60" t="s">
        <v>50</v>
      </c>
      <c r="I1" s="60" t="s">
        <v>50</v>
      </c>
      <c r="J1" s="61" t="s">
        <v>50</v>
      </c>
    </row>
    <row r="2" spans="1:10" s="66" customFormat="1" ht="42.75" customHeight="1" x14ac:dyDescent="0.25">
      <c r="A2" s="63" t="s">
        <v>32</v>
      </c>
      <c r="B2" s="64" t="s">
        <v>0</v>
      </c>
      <c r="C2" s="64" t="s">
        <v>9</v>
      </c>
      <c r="D2" s="64" t="s">
        <v>1</v>
      </c>
      <c r="E2" s="64" t="s">
        <v>2</v>
      </c>
      <c r="F2" s="65" t="s">
        <v>3</v>
      </c>
      <c r="G2" s="65" t="s">
        <v>8</v>
      </c>
      <c r="H2" s="76" t="s">
        <v>98</v>
      </c>
      <c r="I2" s="76" t="s">
        <v>99</v>
      </c>
      <c r="J2" s="77" t="s">
        <v>4</v>
      </c>
    </row>
    <row r="3" spans="1:10" ht="14.25" customHeight="1" x14ac:dyDescent="0.2">
      <c r="A3" s="72">
        <v>45413</v>
      </c>
      <c r="B3" s="73" t="s">
        <v>104</v>
      </c>
      <c r="C3" s="73" t="s">
        <v>45</v>
      </c>
      <c r="D3" s="73" t="s">
        <v>44</v>
      </c>
      <c r="E3" s="73" t="s">
        <v>48</v>
      </c>
      <c r="F3" s="72">
        <v>45427</v>
      </c>
      <c r="G3" s="72">
        <v>45428</v>
      </c>
      <c r="H3" s="68">
        <f ca="1">IF(A3="","",IF(F3="",IF(G3="","Inserir Data Prevista Finalização",""),F3-TODAY()))</f>
        <v>2</v>
      </c>
      <c r="I3" s="68">
        <f>IF(G3="","",G3-A3)</f>
        <v>15</v>
      </c>
      <c r="J3" s="67" t="str">
        <f>IF(A3="","",IF(G3&lt;&gt;"","FINALIZADA","PENDENTE"))</f>
        <v>FINALIZADA</v>
      </c>
    </row>
    <row r="4" spans="1:10" ht="14.25" customHeight="1" x14ac:dyDescent="0.2">
      <c r="A4" s="74"/>
      <c r="B4" s="75"/>
      <c r="C4" s="73"/>
      <c r="D4" s="73"/>
      <c r="E4" s="73"/>
      <c r="F4" s="74"/>
      <c r="G4" s="74"/>
      <c r="H4" s="68" t="str">
        <f t="shared" ref="H4:H5" ca="1" si="0">IF(A4="","",IF(F4="",IF(G4="","Inserir Data Prevista Finalização",""),F4-TODAY()))</f>
        <v/>
      </c>
      <c r="I4" s="68" t="str">
        <f t="shared" ref="I4:I5" si="1">IF(G4="","",G4-A4)</f>
        <v/>
      </c>
      <c r="J4" s="67" t="str">
        <f t="shared" ref="J4:J11" si="2">IF(A4="","",IF(G4&lt;&gt;"","FINALIZADA","PENDENTE"))</f>
        <v/>
      </c>
    </row>
    <row r="5" spans="1:10" ht="14.25" customHeight="1" x14ac:dyDescent="0.2">
      <c r="A5" s="74"/>
      <c r="B5" s="75"/>
      <c r="C5" s="73"/>
      <c r="D5" s="73"/>
      <c r="E5" s="73"/>
      <c r="F5" s="74"/>
      <c r="G5" s="74"/>
      <c r="H5" s="68" t="str">
        <f t="shared" ca="1" si="0"/>
        <v/>
      </c>
      <c r="I5" s="68" t="str">
        <f t="shared" si="1"/>
        <v/>
      </c>
      <c r="J5" s="67" t="str">
        <f t="shared" si="2"/>
        <v/>
      </c>
    </row>
    <row r="6" spans="1:10" ht="14.25" customHeight="1" x14ac:dyDescent="0.2">
      <c r="A6" s="74"/>
      <c r="B6" s="75"/>
      <c r="C6" s="73"/>
      <c r="D6" s="73"/>
      <c r="E6" s="73"/>
      <c r="F6" s="74"/>
      <c r="G6" s="74"/>
      <c r="H6" s="68" t="str">
        <f ca="1">IF(A6="","",IF(F6="",IF(G6="","Inserir Data Prevista Finalização",""),IF(J6="FINALIZADA","",F6-TODAY())))</f>
        <v/>
      </c>
      <c r="I6" s="68" t="str">
        <f>IF(J6="FINALIZADA",G6-A6,"")</f>
        <v/>
      </c>
      <c r="J6" s="67" t="str">
        <f t="shared" si="2"/>
        <v/>
      </c>
    </row>
    <row r="7" spans="1:10" ht="14.25" customHeight="1" x14ac:dyDescent="0.2">
      <c r="A7" s="74"/>
      <c r="B7" s="75"/>
      <c r="C7" s="73"/>
      <c r="D7" s="73"/>
      <c r="E7" s="73"/>
      <c r="F7" s="74"/>
      <c r="G7" s="74"/>
      <c r="H7" s="68" t="str">
        <f t="shared" ref="H7:H11" ca="1" si="3">IF(A7="","",IF(F7="",IF(G7="","Inserir Data Prevista Finalização",""),IF(J7="FINALIZADA","",F7-TODAY())))</f>
        <v/>
      </c>
      <c r="I7" s="68" t="str">
        <f t="shared" ref="I7:I11" si="4">IF(J7="FINALIZADA",G7-A7,"")</f>
        <v/>
      </c>
      <c r="J7" s="67" t="str">
        <f t="shared" si="2"/>
        <v/>
      </c>
    </row>
    <row r="8" spans="1:10" ht="14.25" customHeight="1" x14ac:dyDescent="0.2">
      <c r="A8" s="74"/>
      <c r="B8" s="75"/>
      <c r="C8" s="73"/>
      <c r="D8" s="73"/>
      <c r="E8" s="73"/>
      <c r="F8" s="74"/>
      <c r="G8" s="74"/>
      <c r="H8" s="68" t="str">
        <f t="shared" ca="1" si="3"/>
        <v/>
      </c>
      <c r="I8" s="68" t="str">
        <f t="shared" si="4"/>
        <v/>
      </c>
      <c r="J8" s="67" t="str">
        <f t="shared" si="2"/>
        <v/>
      </c>
    </row>
    <row r="9" spans="1:10" ht="14.25" customHeight="1" x14ac:dyDescent="0.2">
      <c r="A9" s="74"/>
      <c r="B9" s="75"/>
      <c r="C9" s="73"/>
      <c r="D9" s="73"/>
      <c r="E9" s="73"/>
      <c r="F9" s="74"/>
      <c r="G9" s="74"/>
      <c r="H9" s="68" t="str">
        <f t="shared" ca="1" si="3"/>
        <v/>
      </c>
      <c r="I9" s="68" t="str">
        <f t="shared" si="4"/>
        <v/>
      </c>
      <c r="J9" s="67" t="str">
        <f t="shared" si="2"/>
        <v/>
      </c>
    </row>
    <row r="10" spans="1:10" ht="14.25" customHeight="1" x14ac:dyDescent="0.2">
      <c r="A10" s="74"/>
      <c r="B10" s="75"/>
      <c r="C10" s="73"/>
      <c r="D10" s="73"/>
      <c r="E10" s="73"/>
      <c r="F10" s="74"/>
      <c r="G10" s="74"/>
      <c r="H10" s="68" t="str">
        <f t="shared" ca="1" si="3"/>
        <v/>
      </c>
      <c r="I10" s="68" t="str">
        <f t="shared" si="4"/>
        <v/>
      </c>
      <c r="J10" s="67" t="str">
        <f t="shared" si="2"/>
        <v/>
      </c>
    </row>
    <row r="11" spans="1:10" ht="14.25" customHeight="1" x14ac:dyDescent="0.2">
      <c r="A11" s="74"/>
      <c r="B11" s="75"/>
      <c r="C11" s="73"/>
      <c r="D11" s="73"/>
      <c r="E11" s="73"/>
      <c r="F11" s="74"/>
      <c r="G11" s="74"/>
      <c r="H11" s="68" t="str">
        <f t="shared" ca="1" si="3"/>
        <v/>
      </c>
      <c r="I11" s="68" t="str">
        <f t="shared" si="4"/>
        <v/>
      </c>
      <c r="J11" s="67" t="str">
        <f t="shared" si="2"/>
        <v/>
      </c>
    </row>
  </sheetData>
  <sheetProtection algorithmName="SHA-512" hashValue="HYvNENvUWJegmJFZQ3MF01D4XYXF+FjLU0PpepQqWCyhL8CS6LeX2+NyB23RPVBdxhmG5TqC3fovbgVJzIvESQ==" saltValue="0+A0p6b7jNUzOOz4QhlxuQ==" spinCount="100000" sheet="1" objects="1" scenarios="1"/>
  <autoFilter ref="A2:J11" xr:uid="{A105F09E-F5D9-43FB-AEEC-019CDA826D61}"/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312C34D-5080-4994-919E-8C240E4DFDF4}">
          <x14:formula1>
            <xm:f>Cadastros!$E$5:$E$19</xm:f>
          </x14:formula1>
          <xm:sqref>C3:C11</xm:sqref>
        </x14:dataValidation>
        <x14:dataValidation type="list" allowBlank="1" showInputMessage="1" showErrorMessage="1" xr:uid="{DD4EB529-9C8B-498F-8710-96ED53E60EEF}">
          <x14:formula1>
            <xm:f>Cadastros!$B$5:$B$54</xm:f>
          </x14:formula1>
          <xm:sqref>D3:D11</xm:sqref>
        </x14:dataValidation>
        <x14:dataValidation type="list" allowBlank="1" showInputMessage="1" showErrorMessage="1" xr:uid="{2649B75A-ECA1-485A-828D-3B7ED58A2BF6}">
          <x14:formula1>
            <xm:f>Cadastros!$H$5:$H$7</xm:f>
          </x14:formula1>
          <xm:sqref>E3:E11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78B3E-F6A3-4D68-9E82-50C22FCD1B5F}">
  <sheetPr codeName="Planilha4">
    <tabColor rgb="FF3899FC"/>
  </sheetPr>
  <dimension ref="M10"/>
  <sheetViews>
    <sheetView showGridLines="0" zoomScale="150" zoomScaleNormal="150" workbookViewId="0"/>
  </sheetViews>
  <sheetFormatPr defaultRowHeight="15" x14ac:dyDescent="0.25"/>
  <cols>
    <col min="1" max="1" width="1.5703125" style="13" customWidth="1"/>
    <col min="2" max="16384" width="9.140625" style="13"/>
  </cols>
  <sheetData>
    <row r="10" spans="13:13" x14ac:dyDescent="0.25">
      <c r="M10" s="13" t="s">
        <v>5</v>
      </c>
    </row>
  </sheetData>
  <sheetProtection algorithmName="SHA-512" hashValue="tS9yiaBK+MTb+F+qPo+6X1J6828lRAnccFbXDpNBGrMvfLfkDzkQa+Wh730eWSm2iF5TmChhwWPHXl4qRU9r3g==" saltValue="s1mUMwJSIZ51VJisUC1kdg==" spinCount="100000" sheet="1" objects="1" scenarios="1"/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pinner 1">
              <controlPr defaultSize="0" autoPict="0">
                <anchor moveWithCells="1" sizeWithCells="1">
                  <from>
                    <xdr:col>13</xdr:col>
                    <xdr:colOff>514350</xdr:colOff>
                    <xdr:row>1</xdr:row>
                    <xdr:rowOff>133350</xdr:rowOff>
                  </from>
                  <to>
                    <xdr:col>14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BAA73-EA24-4FAA-873C-81856EF85BBC}">
  <sheetPr codeName="Planilha5">
    <tabColor rgb="FF3899FC"/>
  </sheetPr>
  <dimension ref="B5:L11"/>
  <sheetViews>
    <sheetView showGridLines="0" zoomScale="150" zoomScaleNormal="150" workbookViewId="0"/>
  </sheetViews>
  <sheetFormatPr defaultRowHeight="15" x14ac:dyDescent="0.25"/>
  <cols>
    <col min="1" max="1" width="3.7109375" style="13" customWidth="1"/>
    <col min="2" max="16384" width="9.140625" style="13"/>
  </cols>
  <sheetData>
    <row r="5" spans="2:12" x14ac:dyDescent="0.25">
      <c r="B5" s="20" t="s">
        <v>62</v>
      </c>
      <c r="C5" s="21" t="s">
        <v>63</v>
      </c>
      <c r="D5" s="21" t="s">
        <v>64</v>
      </c>
      <c r="E5" s="21" t="s">
        <v>65</v>
      </c>
      <c r="F5" s="21" t="s">
        <v>66</v>
      </c>
      <c r="G5" s="21" t="s">
        <v>67</v>
      </c>
      <c r="H5" s="22" t="s">
        <v>68</v>
      </c>
    </row>
    <row r="6" spans="2:12" ht="3.75" customHeight="1" x14ac:dyDescent="0.25">
      <c r="B6" s="17"/>
      <c r="C6" s="18"/>
      <c r="D6" s="18"/>
      <c r="E6" s="18"/>
      <c r="F6" s="18"/>
      <c r="G6" s="18"/>
      <c r="H6" s="19"/>
    </row>
    <row r="7" spans="2:12" ht="36.75" customHeight="1" thickBot="1" x14ac:dyDescent="0.3">
      <c r="B7" s="24" cm="1">
        <f t="array" ref="B7">iniciomes-(WEEKDAY(iniciomes,1))-IF((WEEKDAY(iniciomes,1))&lt;=0,7,0)+1</f>
        <v>45291</v>
      </c>
      <c r="C7" s="25">
        <f>B7+1</f>
        <v>45292</v>
      </c>
      <c r="D7" s="25">
        <f t="shared" ref="D7:H11" si="0">C7+1</f>
        <v>45293</v>
      </c>
      <c r="E7" s="25">
        <f t="shared" si="0"/>
        <v>45294</v>
      </c>
      <c r="F7" s="25">
        <f t="shared" si="0"/>
        <v>45295</v>
      </c>
      <c r="G7" s="25">
        <f t="shared" si="0"/>
        <v>45296</v>
      </c>
      <c r="H7" s="26">
        <f t="shared" si="0"/>
        <v>45297</v>
      </c>
    </row>
    <row r="8" spans="2:12" ht="36.75" customHeight="1" thickBot="1" x14ac:dyDescent="0.3">
      <c r="B8" s="27">
        <f>H7+1</f>
        <v>45298</v>
      </c>
      <c r="C8" s="28">
        <f>B8+1</f>
        <v>45299</v>
      </c>
      <c r="D8" s="28">
        <f t="shared" si="0"/>
        <v>45300</v>
      </c>
      <c r="E8" s="28">
        <f t="shared" si="0"/>
        <v>45301</v>
      </c>
      <c r="F8" s="28">
        <f t="shared" si="0"/>
        <v>45302</v>
      </c>
      <c r="G8" s="28">
        <f t="shared" si="0"/>
        <v>45303</v>
      </c>
      <c r="H8" s="29">
        <f t="shared" si="0"/>
        <v>45304</v>
      </c>
      <c r="K8" s="23"/>
      <c r="L8" s="13" t="s">
        <v>5</v>
      </c>
    </row>
    <row r="9" spans="2:12" ht="36.75" customHeight="1" thickBot="1" x14ac:dyDescent="0.3">
      <c r="B9" s="27">
        <f>H8+1</f>
        <v>45305</v>
      </c>
      <c r="C9" s="28">
        <f>B9+1</f>
        <v>45306</v>
      </c>
      <c r="D9" s="28">
        <f t="shared" si="0"/>
        <v>45307</v>
      </c>
      <c r="E9" s="28">
        <f t="shared" si="0"/>
        <v>45308</v>
      </c>
      <c r="F9" s="28">
        <f t="shared" si="0"/>
        <v>45309</v>
      </c>
      <c r="G9" s="28">
        <f t="shared" si="0"/>
        <v>45310</v>
      </c>
      <c r="H9" s="29">
        <f t="shared" si="0"/>
        <v>45311</v>
      </c>
    </row>
    <row r="10" spans="2:12" ht="36.75" customHeight="1" thickBot="1" x14ac:dyDescent="0.3">
      <c r="B10" s="27">
        <f>H9+1</f>
        <v>45312</v>
      </c>
      <c r="C10" s="28">
        <f>B10+1</f>
        <v>45313</v>
      </c>
      <c r="D10" s="28">
        <f t="shared" si="0"/>
        <v>45314</v>
      </c>
      <c r="E10" s="28">
        <f t="shared" si="0"/>
        <v>45315</v>
      </c>
      <c r="F10" s="28">
        <f t="shared" si="0"/>
        <v>45316</v>
      </c>
      <c r="G10" s="28">
        <f t="shared" si="0"/>
        <v>45317</v>
      </c>
      <c r="H10" s="29">
        <f t="shared" si="0"/>
        <v>45318</v>
      </c>
    </row>
    <row r="11" spans="2:12" ht="36.75" customHeight="1" x14ac:dyDescent="0.25">
      <c r="B11" s="30">
        <f>H10+1</f>
        <v>45319</v>
      </c>
      <c r="C11" s="31">
        <f>B11+1</f>
        <v>45320</v>
      </c>
      <c r="D11" s="31">
        <f t="shared" si="0"/>
        <v>45321</v>
      </c>
      <c r="E11" s="31">
        <f t="shared" si="0"/>
        <v>45322</v>
      </c>
      <c r="F11" s="31">
        <f t="shared" si="0"/>
        <v>45323</v>
      </c>
      <c r="G11" s="31">
        <f t="shared" si="0"/>
        <v>45324</v>
      </c>
      <c r="H11" s="32">
        <f t="shared" si="0"/>
        <v>45325</v>
      </c>
    </row>
  </sheetData>
  <sheetProtection algorithmName="SHA-512" hashValue="QdILlVLD42tTLgDoMoQ3hGVSgndWhVQ7FWmoDvmZhuWBECCwX3AfIbWWtl1yPRJVcadDLqjwb2rUjg+ZNQzlsQ==" saltValue="yHNuQMQ7TIZwY02sT2FdLA==" spinCount="100000" sheet="1" objects="1" scenarios="1"/>
  <conditionalFormatting sqref="B7:H11">
    <cfRule type="expression" dxfId="0" priority="5">
      <formula>MONTH(B7)&lt;&gt;MONTH(iniciomes)</formula>
    </cfRule>
  </conditionalFormatting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3" name="Spinner 2">
              <controlPr defaultSize="0" autoPict="0">
                <anchor>
                  <from>
                    <xdr:col>13</xdr:col>
                    <xdr:colOff>352425</xdr:colOff>
                    <xdr:row>1</xdr:row>
                    <xdr:rowOff>123825</xdr:rowOff>
                  </from>
                  <to>
                    <xdr:col>13</xdr:col>
                    <xdr:colOff>504825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4" name="Spinner 3">
              <controlPr defaultSize="0" autoPict="0">
                <anchor>
                  <from>
                    <xdr:col>12</xdr:col>
                    <xdr:colOff>66675</xdr:colOff>
                    <xdr:row>1</xdr:row>
                    <xdr:rowOff>114300</xdr:rowOff>
                  </from>
                  <to>
                    <xdr:col>12</xdr:col>
                    <xdr:colOff>209550</xdr:colOff>
                    <xdr:row>2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556C55D-BCC8-412D-8062-03C50A5B17B1}">
            <xm:f>config!V44&gt;0</xm:f>
            <x14:dxf>
              <font>
                <b/>
                <i val="0"/>
                <color theme="1" tint="0.14993743705557422"/>
              </font>
              <fill>
                <patternFill>
                  <bgColor rgb="FF29D1B5"/>
                </patternFill>
              </fill>
            </x14:dxf>
          </x14:cfRule>
          <x14:cfRule type="expression" priority="2" id="{0104E3D4-95DE-4B94-B744-21D7C6DDB42F}">
            <xm:f>config!N44&gt;0</xm:f>
            <x14:dxf>
              <font>
                <b/>
                <i val="0"/>
                <color theme="1" tint="0.14993743705557422"/>
              </font>
              <fill>
                <patternFill>
                  <bgColor rgb="FFF64B57"/>
                </patternFill>
              </fill>
            </x14:dxf>
          </x14:cfRule>
          <xm:sqref>B7:H11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595B-6613-4D0C-B8EA-BF9F291C50AE}">
  <sheetPr codeName="Planilha6">
    <tabColor rgb="FF3899FC"/>
  </sheetPr>
  <dimension ref="B10:M19"/>
  <sheetViews>
    <sheetView zoomScale="140" zoomScaleNormal="140" workbookViewId="0">
      <selection activeCell="R6" sqref="R6"/>
    </sheetView>
  </sheetViews>
  <sheetFormatPr defaultRowHeight="15" x14ac:dyDescent="0.25"/>
  <cols>
    <col min="1" max="1" width="2.7109375" style="13" customWidth="1"/>
    <col min="2" max="16384" width="9.140625" style="13"/>
  </cols>
  <sheetData>
    <row r="10" spans="13:13" x14ac:dyDescent="0.25">
      <c r="M10" s="13" t="s">
        <v>5</v>
      </c>
    </row>
    <row r="19" spans="2:4" x14ac:dyDescent="0.25">
      <c r="B19" s="82" t="s">
        <v>45</v>
      </c>
      <c r="C19" s="82"/>
      <c r="D19" s="82"/>
    </row>
  </sheetData>
  <sheetProtection algorithmName="SHA-512" hashValue="iOC5vkPybzvbM2S8y4iahtwbISZ2D1i4w0DofocTIv1kuVrURsbXrcPtQiUhLkc1HqDeQCyLod2BTadDg2i7EQ==" saltValue="hXTvePxH2Em4PTcH7aOavw==" spinCount="100000" sheet="1" objects="1" scenarios="1"/>
  <mergeCells count="1">
    <mergeCell ref="B19:D19"/>
  </mergeCells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Spinner 1">
              <controlPr defaultSize="0" autoPict="0">
                <anchor moveWithCells="1" sizeWithCells="1">
                  <from>
                    <xdr:col>13</xdr:col>
                    <xdr:colOff>514350</xdr:colOff>
                    <xdr:row>1</xdr:row>
                    <xdr:rowOff>133350</xdr:rowOff>
                  </from>
                  <to>
                    <xdr:col>14</xdr:col>
                    <xdr:colOff>57150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Spinner 2">
              <controlPr defaultSize="0" autoPict="0">
                <anchor moveWithCells="1" sizeWithCells="1">
                  <from>
                    <xdr:col>12</xdr:col>
                    <xdr:colOff>238125</xdr:colOff>
                    <xdr:row>1</xdr:row>
                    <xdr:rowOff>133350</xdr:rowOff>
                  </from>
                  <to>
                    <xdr:col>12</xdr:col>
                    <xdr:colOff>381000</xdr:colOff>
                    <xdr:row>2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6A98A0-7786-4F02-8D53-5A703876DB04}">
          <x14:formula1>
            <xm:f>OFFSET(Cadastros!$E$5, 0, 0, 11, 1)</xm:f>
          </x14:formula1>
          <xm:sqref>B19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A6415-0434-43A7-A495-3B25CDB09F97}">
  <sheetPr codeName="Planilha9">
    <tabColor rgb="FF3899FC"/>
  </sheetPr>
  <dimension ref="M10"/>
  <sheetViews>
    <sheetView zoomScale="150" zoomScaleNormal="150" workbookViewId="0"/>
  </sheetViews>
  <sheetFormatPr defaultRowHeight="15" x14ac:dyDescent="0.25"/>
  <cols>
    <col min="1" max="1" width="2.7109375" style="13" customWidth="1"/>
    <col min="2" max="16384" width="9.140625" style="13"/>
  </cols>
  <sheetData>
    <row r="10" spans="13:13" x14ac:dyDescent="0.25">
      <c r="M10" s="13" t="s">
        <v>5</v>
      </c>
    </row>
  </sheetData>
  <sheetProtection algorithmName="SHA-512" hashValue="KFDZEkgiPMvMC4zqXZ5uwKlWdEGmY1y1B3rqdwHw0qAexic5loi23WAEEIA8OHtQpJ8tCmXWRN3OQkNSbSlE9w==" saltValue="rLN4jI3haUSGzaxFc14JQQ==" spinCount="100000" sheet="1" objects="1" scenarios="1"/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3" name="Spinner 1">
              <controlPr defaultSize="0" autoPict="0">
                <anchor moveWithCells="1" sizeWithCells="1">
                  <from>
                    <xdr:col>13</xdr:col>
                    <xdr:colOff>381000</xdr:colOff>
                    <xdr:row>1</xdr:row>
                    <xdr:rowOff>133350</xdr:rowOff>
                  </from>
                  <to>
                    <xdr:col>13</xdr:col>
                    <xdr:colOff>533400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4" name="Spinner 2">
              <controlPr defaultSize="0" autoPict="0">
                <anchor moveWithCells="1" sizeWithCells="1">
                  <from>
                    <xdr:col>12</xdr:col>
                    <xdr:colOff>104775</xdr:colOff>
                    <xdr:row>1</xdr:row>
                    <xdr:rowOff>133350</xdr:rowOff>
                  </from>
                  <to>
                    <xdr:col>12</xdr:col>
                    <xdr:colOff>247650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5" name="Spinner 5">
              <controlPr defaultSize="0" autoPict="0">
                <anchor moveWithCells="1" sizeWithCells="1">
                  <from>
                    <xdr:col>13</xdr:col>
                    <xdr:colOff>152400</xdr:colOff>
                    <xdr:row>5</xdr:row>
                    <xdr:rowOff>19050</xdr:rowOff>
                  </from>
                  <to>
                    <xdr:col>13</xdr:col>
                    <xdr:colOff>457200</xdr:colOff>
                    <xdr:row>12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9D363-C282-4808-8E5E-2F7982FD2A5E}">
  <sheetPr codeName="Planilha1"/>
  <dimension ref="A1:AZ141"/>
  <sheetViews>
    <sheetView workbookViewId="0"/>
  </sheetViews>
  <sheetFormatPr defaultRowHeight="12.75" x14ac:dyDescent="0.25"/>
  <cols>
    <col min="1" max="1" width="20" style="2" customWidth="1"/>
    <col min="2" max="2" width="26" style="2" bestFit="1" customWidth="1"/>
    <col min="3" max="5" width="10" style="2" customWidth="1"/>
    <col min="6" max="6" width="10.42578125" style="2" bestFit="1" customWidth="1"/>
    <col min="7" max="13" width="10" style="2" customWidth="1"/>
    <col min="14" max="17" width="9.140625" style="2"/>
    <col min="18" max="18" width="7.7109375" style="4" customWidth="1"/>
    <col min="19" max="20" width="9.140625" style="2"/>
    <col min="21" max="21" width="7.7109375" style="4" customWidth="1"/>
    <col min="22" max="16384" width="9.140625" style="2"/>
  </cols>
  <sheetData>
    <row r="1" spans="1:22" x14ac:dyDescent="0.25">
      <c r="A1" s="37" t="s">
        <v>11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4"/>
      <c r="S1" s="33"/>
      <c r="T1" s="33"/>
      <c r="U1" s="34"/>
      <c r="V1" s="33"/>
    </row>
    <row r="2" spans="1:22" x14ac:dyDescent="0.25">
      <c r="A2" s="35" t="s">
        <v>12</v>
      </c>
      <c r="B2" s="1">
        <f ca="1">TODAY()</f>
        <v>45425</v>
      </c>
    </row>
    <row r="3" spans="1:22" x14ac:dyDescent="0.25">
      <c r="A3" s="35" t="s">
        <v>13</v>
      </c>
      <c r="B3" s="2">
        <f ca="1">MONTH(B2)</f>
        <v>5</v>
      </c>
    </row>
    <row r="4" spans="1:22" x14ac:dyDescent="0.25">
      <c r="A4" s="35" t="s">
        <v>14</v>
      </c>
      <c r="B4" s="2">
        <f ca="1">YEAR(B2)</f>
        <v>2024</v>
      </c>
    </row>
    <row r="5" spans="1:22" x14ac:dyDescent="0.25">
      <c r="A5" s="36"/>
    </row>
    <row r="6" spans="1:22" x14ac:dyDescent="0.25">
      <c r="A6" s="36"/>
    </row>
    <row r="7" spans="1:22" x14ac:dyDescent="0.25">
      <c r="A7" s="36"/>
    </row>
    <row r="10" spans="1:22" x14ac:dyDescent="0.25">
      <c r="A10" s="37" t="s">
        <v>10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4"/>
      <c r="S10" s="33"/>
      <c r="T10" s="33"/>
      <c r="U10" s="34"/>
      <c r="V10" s="33"/>
    </row>
    <row r="11" spans="1:22" x14ac:dyDescent="0.25">
      <c r="A11" s="36" t="s">
        <v>6</v>
      </c>
      <c r="B11" s="4" t="str">
        <f>"Análise Geral do ano de "&amp;B12</f>
        <v>Análise Geral do ano de 2024</v>
      </c>
    </row>
    <row r="12" spans="1:22" x14ac:dyDescent="0.25">
      <c r="A12" s="36" t="s">
        <v>34</v>
      </c>
      <c r="B12" s="4">
        <f>2020+B13</f>
        <v>2024</v>
      </c>
    </row>
    <row r="13" spans="1:22" x14ac:dyDescent="0.25">
      <c r="A13" s="36" t="s">
        <v>33</v>
      </c>
      <c r="B13" s="4">
        <v>4</v>
      </c>
    </row>
    <row r="14" spans="1:22" x14ac:dyDescent="0.25">
      <c r="B14" s="4"/>
    </row>
    <row r="15" spans="1:22" x14ac:dyDescent="0.25">
      <c r="B15" s="2">
        <v>1</v>
      </c>
      <c r="C15" s="2">
        <v>2</v>
      </c>
      <c r="D15" s="2">
        <v>3</v>
      </c>
      <c r="E15" s="2">
        <v>4</v>
      </c>
      <c r="F15" s="2">
        <v>5</v>
      </c>
      <c r="G15" s="2">
        <v>6</v>
      </c>
      <c r="H15" s="2">
        <v>7</v>
      </c>
      <c r="I15" s="2">
        <v>8</v>
      </c>
      <c r="J15" s="2">
        <v>9</v>
      </c>
      <c r="K15" s="2">
        <v>10</v>
      </c>
      <c r="L15" s="2">
        <v>11</v>
      </c>
      <c r="M15" s="2">
        <v>12</v>
      </c>
    </row>
    <row r="16" spans="1:22" x14ac:dyDescent="0.25">
      <c r="B16" s="2" t="s">
        <v>15</v>
      </c>
      <c r="C16" s="2" t="s">
        <v>16</v>
      </c>
      <c r="D16" s="2" t="s">
        <v>17</v>
      </c>
      <c r="E16" s="2" t="s">
        <v>18</v>
      </c>
      <c r="F16" s="2" t="s">
        <v>19</v>
      </c>
      <c r="G16" s="2" t="s">
        <v>20</v>
      </c>
      <c r="H16" s="2" t="s">
        <v>21</v>
      </c>
      <c r="I16" s="2" t="s">
        <v>22</v>
      </c>
      <c r="J16" s="2" t="s">
        <v>23</v>
      </c>
      <c r="K16" s="2" t="s">
        <v>24</v>
      </c>
      <c r="L16" s="2" t="s">
        <v>25</v>
      </c>
      <c r="M16" s="2" t="s">
        <v>26</v>
      </c>
      <c r="N16" s="2" t="s">
        <v>31</v>
      </c>
      <c r="R16" s="15"/>
      <c r="S16" s="3" t="s">
        <v>41</v>
      </c>
      <c r="U16" s="15"/>
      <c r="V16" s="3" t="s">
        <v>73</v>
      </c>
    </row>
    <row r="17" spans="1:26" x14ac:dyDescent="0.25">
      <c r="A17" s="2" t="s">
        <v>27</v>
      </c>
      <c r="B17" s="1">
        <f>DATE($B$12,B15,1)</f>
        <v>45292</v>
      </c>
      <c r="C17" s="1">
        <f t="shared" ref="C17:M17" si="0">DATE($B$12,C15,1)</f>
        <v>45323</v>
      </c>
      <c r="D17" s="1">
        <f t="shared" si="0"/>
        <v>45352</v>
      </c>
      <c r="E17" s="1">
        <f t="shared" si="0"/>
        <v>45383</v>
      </c>
      <c r="F17" s="1">
        <f t="shared" si="0"/>
        <v>45413</v>
      </c>
      <c r="G17" s="1">
        <f t="shared" si="0"/>
        <v>45444</v>
      </c>
      <c r="H17" s="1">
        <f t="shared" si="0"/>
        <v>45474</v>
      </c>
      <c r="I17" s="1">
        <f t="shared" si="0"/>
        <v>45505</v>
      </c>
      <c r="J17" s="1">
        <f t="shared" si="0"/>
        <v>45536</v>
      </c>
      <c r="K17" s="1">
        <f t="shared" si="0"/>
        <v>45566</v>
      </c>
      <c r="L17" s="1">
        <f t="shared" si="0"/>
        <v>45597</v>
      </c>
      <c r="M17" s="1">
        <f t="shared" si="0"/>
        <v>45627</v>
      </c>
      <c r="R17" s="15" t="s">
        <v>47</v>
      </c>
      <c r="S17" s="3">
        <f>COUNTIFS(Tarefas!$A:$A,"&gt;="&amp;B$17,Tarefas!$A:$A,"&lt;="&amp;M$18,Tarefas!$J:$J,$S$16,Tarefas!$E:$E,R17)</f>
        <v>0</v>
      </c>
      <c r="U17" s="15" t="s">
        <v>47</v>
      </c>
      <c r="V17" s="3">
        <f>COUNTIFS(Tarefas!$A:$A,"&gt;="&amp;B$17,Tarefas!$A:$A,"&lt;="&amp;M$18,Tarefas!$J:$J,$V$16,Tarefas!$E:$E,U17)</f>
        <v>0</v>
      </c>
    </row>
    <row r="18" spans="1:26" x14ac:dyDescent="0.25">
      <c r="A18" s="2" t="s">
        <v>28</v>
      </c>
      <c r="B18" s="1">
        <f>EOMONTH(B17,0)</f>
        <v>45322</v>
      </c>
      <c r="C18" s="1">
        <f t="shared" ref="C18:M18" si="1">EOMONTH(C17,0)</f>
        <v>45351</v>
      </c>
      <c r="D18" s="1">
        <f t="shared" si="1"/>
        <v>45382</v>
      </c>
      <c r="E18" s="1">
        <f t="shared" si="1"/>
        <v>45412</v>
      </c>
      <c r="F18" s="1">
        <f t="shared" si="1"/>
        <v>45443</v>
      </c>
      <c r="G18" s="1">
        <f t="shared" si="1"/>
        <v>45473</v>
      </c>
      <c r="H18" s="1">
        <f t="shared" si="1"/>
        <v>45504</v>
      </c>
      <c r="I18" s="1">
        <f t="shared" si="1"/>
        <v>45535</v>
      </c>
      <c r="J18" s="1">
        <f t="shared" si="1"/>
        <v>45565</v>
      </c>
      <c r="K18" s="1">
        <f t="shared" si="1"/>
        <v>45596</v>
      </c>
      <c r="L18" s="1">
        <f t="shared" si="1"/>
        <v>45626</v>
      </c>
      <c r="M18" s="1">
        <f t="shared" si="1"/>
        <v>45657</v>
      </c>
      <c r="P18" s="2" t="s">
        <v>40</v>
      </c>
      <c r="R18" s="15" t="s">
        <v>48</v>
      </c>
      <c r="S18" s="3">
        <f>COUNTIFS(Tarefas!$A:$A,"&gt;="&amp;B$17,Tarefas!$A:$A,"&lt;="&amp;M$18,Tarefas!$J:$J,$S$16,Tarefas!$E:$E,R18)</f>
        <v>1</v>
      </c>
      <c r="U18" s="15" t="s">
        <v>48</v>
      </c>
      <c r="V18" s="3">
        <f>COUNTIFS(Tarefas!$A:$A,"&gt;="&amp;B$17,Tarefas!$A:$A,"&lt;="&amp;M$18,Tarefas!$J:$J,$V$16,Tarefas!$E:$E,U18)</f>
        <v>0</v>
      </c>
      <c r="X18" s="3" t="s">
        <v>73</v>
      </c>
      <c r="Y18" s="3" t="s">
        <v>73</v>
      </c>
      <c r="Z18" s="3" t="s">
        <v>73</v>
      </c>
    </row>
    <row r="19" spans="1:26" x14ac:dyDescent="0.25">
      <c r="A19" s="2" t="s">
        <v>29</v>
      </c>
      <c r="B19" s="2">
        <f>COUNTIFS(Tarefas!$A:$A,"&gt;="&amp;B$17,Tarefas!$A:$A,"&lt;="&amp;B$18,Tarefas!$J:$J,$P19)</f>
        <v>0</v>
      </c>
      <c r="C19" s="2">
        <f>COUNTIFS(Tarefas!$A:$A,"&gt;="&amp;C$17,Tarefas!$A:$A,"&lt;="&amp;C$18,Tarefas!$J:$J,$P19)</f>
        <v>0</v>
      </c>
      <c r="D19" s="2">
        <f>COUNTIFS(Tarefas!$A:$A,"&gt;="&amp;D$17,Tarefas!$A:$A,"&lt;="&amp;D$18,Tarefas!$J:$J,$P19)</f>
        <v>0</v>
      </c>
      <c r="E19" s="2">
        <f>COUNTIFS(Tarefas!$A:$A,"&gt;="&amp;E$17,Tarefas!$A:$A,"&lt;="&amp;E$18,Tarefas!$J:$J,$P19)</f>
        <v>0</v>
      </c>
      <c r="F19" s="2">
        <f>COUNTIFS(Tarefas!$A:$A,"&gt;="&amp;F$17,Tarefas!$A:$A,"&lt;="&amp;F$18,Tarefas!$J:$J,$P19)</f>
        <v>1</v>
      </c>
      <c r="G19" s="2">
        <f>COUNTIFS(Tarefas!$A:$A,"&gt;="&amp;G$17,Tarefas!$A:$A,"&lt;="&amp;G$18,Tarefas!$J:$J,$P19)</f>
        <v>0</v>
      </c>
      <c r="H19" s="2">
        <f>COUNTIFS(Tarefas!$A:$A,"&gt;="&amp;H$17,Tarefas!$A:$A,"&lt;="&amp;H$18,Tarefas!$J:$J,$P19)</f>
        <v>0</v>
      </c>
      <c r="I19" s="2">
        <f>COUNTIFS(Tarefas!$A:$A,"&gt;="&amp;I$17,Tarefas!$A:$A,"&lt;="&amp;I$18,Tarefas!$J:$J,$P19)</f>
        <v>0</v>
      </c>
      <c r="J19" s="2">
        <f>COUNTIFS(Tarefas!$A:$A,"&gt;="&amp;J$17,Tarefas!$A:$A,"&lt;="&amp;J$18,Tarefas!$J:$J,$P19)</f>
        <v>0</v>
      </c>
      <c r="K19" s="2">
        <f>COUNTIFS(Tarefas!$A:$A,"&gt;="&amp;K$17,Tarefas!$A:$A,"&lt;="&amp;K$18,Tarefas!$J:$J,$P19)</f>
        <v>0</v>
      </c>
      <c r="L19" s="2">
        <f>COUNTIFS(Tarefas!$A:$A,"&gt;="&amp;L$17,Tarefas!$A:$A,"&lt;="&amp;L$18,Tarefas!$J:$J,$P19)</f>
        <v>0</v>
      </c>
      <c r="M19" s="2">
        <f>COUNTIFS(Tarefas!$A:$A,"&gt;="&amp;M$17,Tarefas!$A:$A,"&lt;="&amp;M$18,Tarefas!$J:$J,$P19)</f>
        <v>0</v>
      </c>
      <c r="N19" s="2">
        <f>SUM(B19:M19)</f>
        <v>1</v>
      </c>
      <c r="O19" s="5">
        <f>IFERROR(N19/$N$21,"-")</f>
        <v>1</v>
      </c>
      <c r="P19" s="2" t="s">
        <v>41</v>
      </c>
      <c r="R19" s="15" t="s">
        <v>49</v>
      </c>
      <c r="S19" s="3">
        <f>COUNTIFS(Tarefas!$A:$A,"&gt;="&amp;B$17,Tarefas!$A:$A,"&lt;="&amp;M$18,Tarefas!$J:$J,$S$16,Tarefas!$E:$E,R19)</f>
        <v>0</v>
      </c>
      <c r="U19" s="15" t="s">
        <v>49</v>
      </c>
      <c r="V19" s="3">
        <f>COUNTIFS(Tarefas!$A:$A,"&gt;="&amp;B$17,Tarefas!$A:$A,"&lt;="&amp;M$18,Tarefas!$J:$J,$V$16,Tarefas!$E:$E,U19)</f>
        <v>0</v>
      </c>
      <c r="X19" s="3" t="s">
        <v>58</v>
      </c>
      <c r="Y19" s="3" t="s">
        <v>59</v>
      </c>
      <c r="Z19" s="3" t="s">
        <v>60</v>
      </c>
    </row>
    <row r="20" spans="1:26" x14ac:dyDescent="0.25">
      <c r="A20" s="2" t="s">
        <v>30</v>
      </c>
      <c r="B20" s="2">
        <f>COUNTIFS(Tarefas!$A:$A,"&gt;="&amp;B$17,Tarefas!$A:$A,"&lt;="&amp;B$18,Tarefas!$J:$J,$P20)</f>
        <v>0</v>
      </c>
      <c r="C20" s="2">
        <f>COUNTIFS(Tarefas!$A:$A,"&gt;="&amp;C$17,Tarefas!$A:$A,"&lt;="&amp;C$18,Tarefas!$J:$J,$P20)</f>
        <v>0</v>
      </c>
      <c r="D20" s="2">
        <f>COUNTIFS(Tarefas!$A:$A,"&gt;="&amp;D$17,Tarefas!$A:$A,"&lt;="&amp;D$18,Tarefas!$J:$J,$P20)</f>
        <v>0</v>
      </c>
      <c r="E20" s="2">
        <f>COUNTIFS(Tarefas!$A:$A,"&gt;="&amp;E$17,Tarefas!$A:$A,"&lt;="&amp;E$18,Tarefas!$J:$J,$P20)</f>
        <v>0</v>
      </c>
      <c r="F20" s="2">
        <f>COUNTIFS(Tarefas!$A:$A,"&gt;="&amp;F$17,Tarefas!$A:$A,"&lt;="&amp;F$18,Tarefas!$J:$J,$P20)</f>
        <v>0</v>
      </c>
      <c r="G20" s="2">
        <f>COUNTIFS(Tarefas!$A:$A,"&gt;="&amp;G$17,Tarefas!$A:$A,"&lt;="&amp;G$18,Tarefas!$J:$J,$P20)</f>
        <v>0</v>
      </c>
      <c r="H20" s="2">
        <f>COUNTIFS(Tarefas!$A:$A,"&gt;="&amp;H$17,Tarefas!$A:$A,"&lt;="&amp;H$18,Tarefas!$J:$J,$P20)</f>
        <v>0</v>
      </c>
      <c r="I20" s="2">
        <f>COUNTIFS(Tarefas!$A:$A,"&gt;="&amp;I$17,Tarefas!$A:$A,"&lt;="&amp;I$18,Tarefas!$J:$J,$P20)</f>
        <v>0</v>
      </c>
      <c r="J20" s="2">
        <f>COUNTIFS(Tarefas!$A:$A,"&gt;="&amp;J$17,Tarefas!$A:$A,"&lt;="&amp;J$18,Tarefas!$J:$J,$P20)</f>
        <v>0</v>
      </c>
      <c r="K20" s="2">
        <f>COUNTIFS(Tarefas!$A:$A,"&gt;="&amp;K$17,Tarefas!$A:$A,"&lt;="&amp;K$18,Tarefas!$J:$J,$P20)</f>
        <v>0</v>
      </c>
      <c r="L20" s="2">
        <f>COUNTIFS(Tarefas!$A:$A,"&gt;="&amp;L$17,Tarefas!$A:$A,"&lt;="&amp;L$18,Tarefas!$J:$J,$P20)</f>
        <v>0</v>
      </c>
      <c r="M20" s="2">
        <f>COUNTIFS(Tarefas!$A:$A,"&gt;="&amp;M$17,Tarefas!$A:$A,"&lt;="&amp;M$18,Tarefas!$J:$J,$P20)</f>
        <v>0</v>
      </c>
      <c r="N20" s="2">
        <f>SUM(B20:M20)</f>
        <v>0</v>
      </c>
      <c r="O20" s="5">
        <f>IFERROR(N20/$N$21,"-")</f>
        <v>0</v>
      </c>
      <c r="P20" s="2" t="s">
        <v>73</v>
      </c>
      <c r="R20" s="15" t="s">
        <v>61</v>
      </c>
      <c r="S20" s="3">
        <f>COUNTIFS(Tarefas!$A:$A,"&gt;="&amp;B$17,Tarefas!$A:$A,"&lt;="&amp;M$18,Tarefas!$J:$J,$S$16,Tarefas!$E:$E,"")</f>
        <v>0</v>
      </c>
      <c r="U20" s="15" t="s">
        <v>61</v>
      </c>
      <c r="V20" s="3">
        <f>COUNTIFS(Tarefas!$A:$A,"&gt;="&amp;B$17,Tarefas!$A:$A,"&lt;="&amp;M$18,Tarefas!$J:$J,$V$16,Tarefas!$E:$E,"")</f>
        <v>0</v>
      </c>
      <c r="X20" s="3">
        <f>COUNTIFS(Tarefas!$A:$A,"&gt;="&amp;B$17,Tarefas!$A:$A,"&lt;="&amp;M$18,Tarefas!$J:$J,$X$18,Tarefas!$H:$H,"&lt;"&amp;0)</f>
        <v>0</v>
      </c>
      <c r="Y20" s="3">
        <f>COUNTIFS(Tarefas!$A:$A,"&gt;="&amp;B$17,Tarefas!$A:$A,"&lt;="&amp;M$18,Tarefas!$J:$J,$Y$18,Tarefas!$H:$H,"&gt;="&amp;0)</f>
        <v>0</v>
      </c>
      <c r="Z20" s="3">
        <f>COUNTIFS(Tarefas!$A:$A,"&gt;="&amp;B$17,Tarefas!$A:$A,"&lt;="&amp;M$18,Tarefas!$J:$J,$Z$18,Tarefas!$F:$F,"")</f>
        <v>0</v>
      </c>
    </row>
    <row r="21" spans="1:26" x14ac:dyDescent="0.25">
      <c r="N21" s="2">
        <f>SUM(N19:N20)</f>
        <v>1</v>
      </c>
    </row>
    <row r="27" spans="1:26" x14ac:dyDescent="0.25">
      <c r="A27" s="36" t="s">
        <v>35</v>
      </c>
    </row>
    <row r="28" spans="1:26" x14ac:dyDescent="0.25">
      <c r="A28" s="36" t="s">
        <v>54</v>
      </c>
      <c r="B28" s="2" t="s">
        <v>29</v>
      </c>
    </row>
    <row r="29" spans="1:26" x14ac:dyDescent="0.25">
      <c r="A29" s="36" t="s">
        <v>55</v>
      </c>
      <c r="B29" s="2">
        <f>N21</f>
        <v>1</v>
      </c>
    </row>
    <row r="30" spans="1:26" x14ac:dyDescent="0.25">
      <c r="A30" s="36"/>
      <c r="B30" s="2" t="s">
        <v>38</v>
      </c>
      <c r="C30" s="2" t="s">
        <v>74</v>
      </c>
    </row>
    <row r="31" spans="1:26" x14ac:dyDescent="0.25">
      <c r="A31" s="36" t="s">
        <v>37</v>
      </c>
      <c r="B31" s="6">
        <f>IFERROR(O19,"-")</f>
        <v>1</v>
      </c>
      <c r="C31" s="6">
        <f>IFERROR(1-B31,"-")</f>
        <v>0</v>
      </c>
    </row>
    <row r="36" spans="1:22" ht="15.75" x14ac:dyDescent="0.25">
      <c r="A36" s="36" t="s">
        <v>39</v>
      </c>
      <c r="F36" s="2" t="s">
        <v>73</v>
      </c>
      <c r="G36" s="2" t="s">
        <v>41</v>
      </c>
      <c r="J36" s="7"/>
    </row>
    <row r="37" spans="1:22" x14ac:dyDescent="0.25">
      <c r="A37" s="36" t="s">
        <v>36</v>
      </c>
      <c r="B37" s="2" t="s">
        <v>57</v>
      </c>
      <c r="D37" s="2" t="s">
        <v>2</v>
      </c>
      <c r="E37" s="2" t="str">
        <f>Cadastros!H5</f>
        <v>Alta</v>
      </c>
      <c r="F37" s="2">
        <f>COUNTIFS(Tarefas!$A:$A,"&gt;="&amp;$B$17,Tarefas!$A:$A,"&lt;="&amp;$M$18,Tarefas!$J:$J,F$36,Tarefas!$E:$E,$E37)</f>
        <v>0</v>
      </c>
      <c r="G37" s="2">
        <v>1</v>
      </c>
      <c r="H37" s="5">
        <f>IFERROR(F37/(G37+F37),"-")</f>
        <v>0</v>
      </c>
    </row>
    <row r="38" spans="1:22" x14ac:dyDescent="0.25">
      <c r="A38" s="36" t="s">
        <v>56</v>
      </c>
      <c r="B38" s="12">
        <f>N20</f>
        <v>0</v>
      </c>
      <c r="C38" s="6"/>
      <c r="E38" s="2" t="str">
        <f>Cadastros!H6</f>
        <v>Média</v>
      </c>
      <c r="F38" s="2">
        <f>COUNTIFS(Tarefas!$A:$A,"&gt;="&amp;$B$17,Tarefas!$A:$A,"&lt;="&amp;$M$18,Tarefas!$J:$J,F$36,Tarefas!$E:$E,$E38)</f>
        <v>0</v>
      </c>
      <c r="G38" s="2">
        <f>COUNTIFS(Tarefas!$A:$A,"&gt;="&amp;$B$17,Tarefas!$A:$A,"&lt;="&amp;$M$18,Tarefas!$J:$J,G$36,Tarefas!$E:$E,$E38)</f>
        <v>1</v>
      </c>
      <c r="H38" s="5">
        <f>IFERROR(F38/(G38+F38),"-")</f>
        <v>0</v>
      </c>
    </row>
    <row r="39" spans="1:22" x14ac:dyDescent="0.25">
      <c r="E39" s="2" t="str">
        <f>Cadastros!H7</f>
        <v>Baixa</v>
      </c>
      <c r="F39" s="2">
        <f>COUNTIFS(Tarefas!$A:$A,"&gt;="&amp;$B$17,Tarefas!$A:$A,"&lt;="&amp;$M$18,Tarefas!$J:$J,F$36,Tarefas!$E:$E,$E39)</f>
        <v>0</v>
      </c>
      <c r="G39" s="2">
        <f>COUNTIFS(Tarefas!$A:$A,"&gt;="&amp;$B$17,Tarefas!$A:$A,"&lt;="&amp;$M$18,Tarefas!$J:$J,G$36,Tarefas!$E:$E,$E39)</f>
        <v>0</v>
      </c>
      <c r="H39" s="5" t="e">
        <f>F39/(G39+F39)</f>
        <v>#DIV/0!</v>
      </c>
    </row>
    <row r="41" spans="1:22" x14ac:dyDescent="0.25">
      <c r="A41" s="37" t="s">
        <v>42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4"/>
      <c r="S41" s="33"/>
      <c r="T41" s="33"/>
      <c r="U41" s="34"/>
      <c r="V41" s="33"/>
    </row>
    <row r="42" spans="1:22" x14ac:dyDescent="0.25">
      <c r="A42" s="36" t="s">
        <v>6</v>
      </c>
      <c r="B42" s="4" t="str">
        <f>"Análise do mês "&amp;PROPER(TEXT(B46,"mmmm"))&amp;" do ano de "&amp;B43</f>
        <v>Análise do mês Janeiro do ano de 2024</v>
      </c>
    </row>
    <row r="43" spans="1:22" x14ac:dyDescent="0.25">
      <c r="A43" s="36" t="s">
        <v>34</v>
      </c>
      <c r="B43" s="4">
        <f>2020+B44</f>
        <v>2024</v>
      </c>
      <c r="F43" s="83" t="s">
        <v>70</v>
      </c>
      <c r="G43" s="83"/>
      <c r="H43" s="83"/>
      <c r="I43" s="83"/>
      <c r="J43" s="83"/>
      <c r="K43" s="83"/>
      <c r="L43" s="83"/>
      <c r="N43" s="4" t="s">
        <v>73</v>
      </c>
    </row>
    <row r="44" spans="1:22" x14ac:dyDescent="0.25">
      <c r="A44" s="36" t="s">
        <v>33</v>
      </c>
      <c r="B44" s="4">
        <v>4</v>
      </c>
      <c r="F44" s="1">
        <f>'Dashboard 2 - Mês'!B7</f>
        <v>45291</v>
      </c>
      <c r="G44" s="1">
        <f>'Dashboard 2 - Mês'!C7</f>
        <v>45292</v>
      </c>
      <c r="H44" s="1">
        <f>'Dashboard 2 - Mês'!D7</f>
        <v>45293</v>
      </c>
      <c r="I44" s="1">
        <f>'Dashboard 2 - Mês'!E7</f>
        <v>45294</v>
      </c>
      <c r="J44" s="1">
        <f>'Dashboard 2 - Mês'!F7</f>
        <v>45295</v>
      </c>
      <c r="K44" s="1">
        <f>'Dashboard 2 - Mês'!G7</f>
        <v>45296</v>
      </c>
      <c r="L44" s="1">
        <f>'Dashboard 2 - Mês'!H7</f>
        <v>45297</v>
      </c>
      <c r="N44" s="2">
        <f>IF(MONTH(F44)&lt;&gt;MONTH(iniciomes),0,IF($N$43="Pendente",COUNTIFS(Tarefas!$A:$A,F44,Tarefas!$J:$J,$N$43),0))</f>
        <v>0</v>
      </c>
      <c r="O44" s="2">
        <f>IF(MONTH(G44)&lt;&gt;MONTH(iniciomes),0,IF($N$43="Pendente",COUNTIFS(Tarefas!$A:$A,G44,Tarefas!$J:$J,$N$43),0))</f>
        <v>0</v>
      </c>
      <c r="P44" s="2">
        <f>IF(MONTH(H44)&lt;&gt;MONTH(iniciomes),0,IF($N$43="Pendente",COUNTIFS(Tarefas!$A:$A,H44,Tarefas!$J:$J,$N$43),0))</f>
        <v>0</v>
      </c>
      <c r="Q44" s="2">
        <f>IF(MONTH(I44)&lt;&gt;MONTH(iniciomes),0,IF($N$43="Pendente",COUNTIFS(Tarefas!$A:$A,I44,Tarefas!$J:$J,$N$43),0))</f>
        <v>0</v>
      </c>
      <c r="R44" s="2">
        <f>IF(MONTH(J44)&lt;&gt;MONTH(iniciomes),0,IF($N$43="Pendente",COUNTIFS(Tarefas!$A:$A,J44,Tarefas!$J:$J,$N$43),0))</f>
        <v>0</v>
      </c>
      <c r="S44" s="2">
        <f>IF(MONTH(K44)&lt;&gt;MONTH(iniciomes),0,IF($N$43="Pendente",COUNTIFS(Tarefas!$A:$A,K44,Tarefas!$J:$J,$N$43),0))</f>
        <v>0</v>
      </c>
      <c r="T44" s="2">
        <f>IF(MONTH(L44)&lt;&gt;MONTH(iniciomes),0,IF($N$43="Pendente",COUNTIFS(Tarefas!$A:$A,L44,Tarefas!$J:$J,$N$43),0))</f>
        <v>0</v>
      </c>
    </row>
    <row r="45" spans="1:22" x14ac:dyDescent="0.25">
      <c r="F45" s="1">
        <f>'Dashboard 2 - Mês'!B8</f>
        <v>45298</v>
      </c>
      <c r="G45" s="1">
        <f>'Dashboard 2 - Mês'!C8</f>
        <v>45299</v>
      </c>
      <c r="H45" s="1">
        <f>'Dashboard 2 - Mês'!D8</f>
        <v>45300</v>
      </c>
      <c r="I45" s="1">
        <f>'Dashboard 2 - Mês'!E8</f>
        <v>45301</v>
      </c>
      <c r="J45" s="1">
        <f>'Dashboard 2 - Mês'!F8</f>
        <v>45302</v>
      </c>
      <c r="K45" s="1">
        <f>'Dashboard 2 - Mês'!G8</f>
        <v>45303</v>
      </c>
      <c r="L45" s="1">
        <f>'Dashboard 2 - Mês'!H8</f>
        <v>45304</v>
      </c>
      <c r="N45" s="2">
        <f>IF(MONTH(F45)&lt;&gt;MONTH(iniciomes),0,IF($N$43="Pendente",COUNTIFS(Tarefas!$A:$A,F45,Tarefas!$J:$J,$N$43),0))</f>
        <v>0</v>
      </c>
      <c r="O45" s="2">
        <f>IF(MONTH(G45)&lt;&gt;MONTH(iniciomes),0,IF($N$43="Pendente",COUNTIFS(Tarefas!$A:$A,G45,Tarefas!$J:$J,$N$43),0))</f>
        <v>0</v>
      </c>
      <c r="P45" s="2">
        <f>IF(MONTH(H45)&lt;&gt;MONTH(iniciomes),0,IF($N$43="Pendente",COUNTIFS(Tarefas!$A:$A,H45,Tarefas!$J:$J,$N$43),0))</f>
        <v>0</v>
      </c>
      <c r="Q45" s="2">
        <f>IF(MONTH(I45)&lt;&gt;MONTH(iniciomes),0,IF($N$43="Pendente",COUNTIFS(Tarefas!$A:$A,I45,Tarefas!$J:$J,$N$43),0))</f>
        <v>0</v>
      </c>
      <c r="R45" s="2">
        <f>IF(MONTH(J45)&lt;&gt;MONTH(iniciomes),0,IF($N$43="Pendente",COUNTIFS(Tarefas!$A:$A,J45,Tarefas!$J:$J,$N$43),0))</f>
        <v>0</v>
      </c>
      <c r="S45" s="2">
        <f>IF(MONTH(K45)&lt;&gt;MONTH(iniciomes),0,IF($N$43="Pendente",COUNTIFS(Tarefas!$A:$A,K45,Tarefas!$J:$J,$N$43),0))</f>
        <v>0</v>
      </c>
      <c r="T45" s="2">
        <f>IF(MONTH(L45)&lt;&gt;MONTH(iniciomes),0,IF($N$43="Pendente",COUNTIFS(Tarefas!$A:$A,L45,Tarefas!$J:$J,$N$43),0))</f>
        <v>0</v>
      </c>
    </row>
    <row r="46" spans="1:22" x14ac:dyDescent="0.25">
      <c r="A46" s="36" t="s">
        <v>43</v>
      </c>
      <c r="B46" s="8" t="str">
        <f>PROPER(TEXT(DATE(B43,1+B47,1),"mmmm"))</f>
        <v>Janeiro</v>
      </c>
      <c r="E46" s="10"/>
      <c r="F46" s="1">
        <f>'Dashboard 2 - Mês'!B9</f>
        <v>45305</v>
      </c>
      <c r="G46" s="1">
        <f>'Dashboard 2 - Mês'!C9</f>
        <v>45306</v>
      </c>
      <c r="H46" s="1">
        <f>'Dashboard 2 - Mês'!D9</f>
        <v>45307</v>
      </c>
      <c r="I46" s="1">
        <f>'Dashboard 2 - Mês'!E9</f>
        <v>45308</v>
      </c>
      <c r="J46" s="1">
        <f>'Dashboard 2 - Mês'!F9</f>
        <v>45309</v>
      </c>
      <c r="K46" s="1">
        <f>'Dashboard 2 - Mês'!G9</f>
        <v>45310</v>
      </c>
      <c r="L46" s="1">
        <f>'Dashboard 2 - Mês'!H9</f>
        <v>45311</v>
      </c>
      <c r="N46" s="2">
        <f>IF(MONTH(F46)&lt;&gt;MONTH(iniciomes),0,IF($N$43="Pendente",COUNTIFS(Tarefas!$A:$A,F46,Tarefas!$J:$J,$N$43),0))</f>
        <v>0</v>
      </c>
      <c r="O46" s="2">
        <f>IF(MONTH(G46)&lt;&gt;MONTH(iniciomes),0,IF($N$43="Pendente",COUNTIFS(Tarefas!$A:$A,G46,Tarefas!$J:$J,$N$43),0))</f>
        <v>0</v>
      </c>
      <c r="P46" s="2">
        <f>IF(MONTH(H46)&lt;&gt;MONTH(iniciomes),0,IF($N$43="Pendente",COUNTIFS(Tarefas!$A:$A,H46,Tarefas!$J:$J,$N$43),0))</f>
        <v>0</v>
      </c>
      <c r="Q46" s="2">
        <f>IF(MONTH(I46)&lt;&gt;MONTH(iniciomes),0,IF($N$43="Pendente",COUNTIFS(Tarefas!$A:$A,I46,Tarefas!$J:$J,$N$43),0))</f>
        <v>0</v>
      </c>
      <c r="R46" s="2">
        <f>IF(MONTH(J46)&lt;&gt;MONTH(iniciomes),0,IF($N$43="Pendente",COUNTIFS(Tarefas!$A:$A,J46,Tarefas!$J:$J,$N$43),0))</f>
        <v>0</v>
      </c>
      <c r="S46" s="2">
        <f>IF(MONTH(K46)&lt;&gt;MONTH(iniciomes),0,IF($N$43="Pendente",COUNTIFS(Tarefas!$A:$A,K46,Tarefas!$J:$J,$N$43),0))</f>
        <v>0</v>
      </c>
      <c r="T46" s="2">
        <f>IF(MONTH(L46)&lt;&gt;MONTH(iniciomes),0,IF($N$43="Pendente",COUNTIFS(Tarefas!$A:$A,L46,Tarefas!$J:$J,$N$43),0))</f>
        <v>0</v>
      </c>
    </row>
    <row r="47" spans="1:22" x14ac:dyDescent="0.25">
      <c r="A47" s="36" t="s">
        <v>33</v>
      </c>
      <c r="B47" s="4">
        <v>0</v>
      </c>
      <c r="F47" s="1">
        <f>'Dashboard 2 - Mês'!B10</f>
        <v>45312</v>
      </c>
      <c r="G47" s="1">
        <f>'Dashboard 2 - Mês'!C10</f>
        <v>45313</v>
      </c>
      <c r="H47" s="1">
        <f>'Dashboard 2 - Mês'!D10</f>
        <v>45314</v>
      </c>
      <c r="I47" s="1">
        <f>'Dashboard 2 - Mês'!E10</f>
        <v>45315</v>
      </c>
      <c r="J47" s="1">
        <f>'Dashboard 2 - Mês'!F10</f>
        <v>45316</v>
      </c>
      <c r="K47" s="1">
        <f>'Dashboard 2 - Mês'!G10</f>
        <v>45317</v>
      </c>
      <c r="L47" s="1">
        <f>'Dashboard 2 - Mês'!H10</f>
        <v>45318</v>
      </c>
      <c r="N47" s="2">
        <f>IF(MONTH(F47)&lt;&gt;MONTH(iniciomes),0,IF($N$43="Pendente",COUNTIFS(Tarefas!$A:$A,F47,Tarefas!$J:$J,$N$43),0))</f>
        <v>0</v>
      </c>
      <c r="O47" s="2">
        <f>IF(MONTH(G47)&lt;&gt;MONTH(iniciomes),0,IF($N$43="Pendente",COUNTIFS(Tarefas!$A:$A,G47,Tarefas!$J:$J,$N$43),0))</f>
        <v>0</v>
      </c>
      <c r="P47" s="2">
        <f>IF(MONTH(H47)&lt;&gt;MONTH(iniciomes),0,IF($N$43="Pendente",COUNTIFS(Tarefas!$A:$A,H47,Tarefas!$J:$J,$N$43),0))</f>
        <v>0</v>
      </c>
      <c r="Q47" s="2">
        <f>IF(MONTH(I47)&lt;&gt;MONTH(iniciomes),0,IF($N$43="Pendente",COUNTIFS(Tarefas!$A:$A,I47,Tarefas!$J:$J,$N$43),0))</f>
        <v>0</v>
      </c>
      <c r="R47" s="2">
        <f>IF(MONTH(J47)&lt;&gt;MONTH(iniciomes),0,IF($N$43="Pendente",COUNTIFS(Tarefas!$A:$A,J47,Tarefas!$J:$J,$N$43),0))</f>
        <v>0</v>
      </c>
      <c r="S47" s="2">
        <f>IF(MONTH(K47)&lt;&gt;MONTH(iniciomes),0,IF($N$43="Pendente",COUNTIFS(Tarefas!$A:$A,K47,Tarefas!$J:$J,$N$43),0))</f>
        <v>0</v>
      </c>
      <c r="T47" s="2">
        <f>IF(MONTH(L47)&lt;&gt;MONTH(iniciomes),0,IF($N$43="Pendente",COUNTIFS(Tarefas!$A:$A,L47,Tarefas!$J:$J,$N$43),0))</f>
        <v>0</v>
      </c>
    </row>
    <row r="48" spans="1:22" x14ac:dyDescent="0.25">
      <c r="F48" s="1">
        <f>'Dashboard 2 - Mês'!B11</f>
        <v>45319</v>
      </c>
      <c r="G48" s="1">
        <f>'Dashboard 2 - Mês'!C11</f>
        <v>45320</v>
      </c>
      <c r="H48" s="1">
        <f>'Dashboard 2 - Mês'!D11</f>
        <v>45321</v>
      </c>
      <c r="I48" s="1">
        <f>'Dashboard 2 - Mês'!E11</f>
        <v>45322</v>
      </c>
      <c r="J48" s="1">
        <f>'Dashboard 2 - Mês'!F11</f>
        <v>45323</v>
      </c>
      <c r="K48" s="1">
        <f>'Dashboard 2 - Mês'!G11</f>
        <v>45324</v>
      </c>
      <c r="L48" s="1">
        <f>'Dashboard 2 - Mês'!H11</f>
        <v>45325</v>
      </c>
      <c r="N48" s="2">
        <f>IF(MONTH(F48)&lt;&gt;MONTH(iniciomes),0,IF($N$43="Pendente",COUNTIFS(Tarefas!$A:$A,F48,Tarefas!$J:$J,$N$43),0))</f>
        <v>0</v>
      </c>
      <c r="O48" s="2">
        <f>IF(MONTH(G48)&lt;&gt;MONTH(iniciomes),0,IF($N$43="Pendente",COUNTIFS(Tarefas!$A:$A,G48,Tarefas!$J:$J,$N$43),0))</f>
        <v>0</v>
      </c>
      <c r="P48" s="2">
        <f>IF(MONTH(H48)&lt;&gt;MONTH(iniciomes),0,IF($N$43="Pendente",COUNTIFS(Tarefas!$A:$A,H48,Tarefas!$J:$J,$N$43),0))</f>
        <v>0</v>
      </c>
      <c r="Q48" s="2">
        <f>IF(MONTH(I48)&lt;&gt;MONTH(iniciomes),0,IF($N$43="Pendente",COUNTIFS(Tarefas!$A:$A,I48,Tarefas!$J:$J,$N$43),0))</f>
        <v>0</v>
      </c>
      <c r="R48" s="2">
        <f>IF(MONTH(J48)&lt;&gt;MONTH(iniciomes),0,IF($N$43="Pendente",COUNTIFS(Tarefas!$A:$A,J48,Tarefas!$J:$J,$N$43),0))</f>
        <v>0</v>
      </c>
      <c r="S48" s="2">
        <f>IF(MONTH(K48)&lt;&gt;MONTH(iniciomes),0,IF($N$43="Pendente",COUNTIFS(Tarefas!$A:$A,K48,Tarefas!$J:$J,$N$43),0))</f>
        <v>0</v>
      </c>
      <c r="T48" s="2">
        <f>IF(MONTH(L48)&lt;&gt;MONTH(iniciomes),0,IF($N$43="Pendente",COUNTIFS(Tarefas!$A:$A,L48,Tarefas!$J:$J,$N$43),0))</f>
        <v>0</v>
      </c>
    </row>
    <row r="49" spans="1:34" x14ac:dyDescent="0.25">
      <c r="A49" s="2" t="s">
        <v>69</v>
      </c>
      <c r="B49" s="16">
        <f>DATE(B43,1+B47,1)</f>
        <v>45292</v>
      </c>
      <c r="R49" s="2"/>
      <c r="U49" s="2"/>
    </row>
    <row r="50" spans="1:34" x14ac:dyDescent="0.25">
      <c r="A50" s="2" t="s">
        <v>72</v>
      </c>
      <c r="B50" s="16">
        <f>EOMONTH(iniciomes,0)</f>
        <v>45322</v>
      </c>
    </row>
    <row r="51" spans="1:34" x14ac:dyDescent="0.25"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4"/>
      <c r="S51" s="11"/>
      <c r="T51" s="11"/>
      <c r="U51" s="14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9"/>
    </row>
    <row r="53" spans="1:34" x14ac:dyDescent="0.25">
      <c r="A53" s="2" t="s">
        <v>71</v>
      </c>
      <c r="B53" s="2">
        <f>COUNTIFS(Tarefas!$A:$A,"&gt;="&amp;iniciomes,Tarefas!$A:$A,"&lt;="&amp;$B$50)</f>
        <v>0</v>
      </c>
      <c r="D53" s="2" t="s">
        <v>7</v>
      </c>
    </row>
    <row r="54" spans="1:34" x14ac:dyDescent="0.25">
      <c r="A54" s="2" t="s">
        <v>29</v>
      </c>
      <c r="B54" s="2">
        <f>COUNTIFS(Tarefas!$A:$A,"&gt;="&amp;iniciomes,Tarefas!$A:$A,"&lt;="&amp;$B$50,Tarefas!$J:$J,"Finalizada")</f>
        <v>0</v>
      </c>
      <c r="C54" s="5" t="str">
        <f>IFERROR(B54/B53,"-")</f>
        <v>-</v>
      </c>
      <c r="D54" s="4"/>
    </row>
    <row r="55" spans="1:34" x14ac:dyDescent="0.25">
      <c r="A55" s="2" t="s">
        <v>30</v>
      </c>
      <c r="B55" s="2">
        <f>COUNTIFS(Tarefas!$A:$A,"&gt;="&amp;iniciomes,Tarefas!$A:$A,"&lt;="&amp;$B$50,Tarefas!$J:$J,"Pendente")</f>
        <v>0</v>
      </c>
      <c r="C55" s="5" t="str">
        <f>IFERROR(B55/B53,"-")</f>
        <v>-</v>
      </c>
    </row>
    <row r="58" spans="1:34" x14ac:dyDescent="0.25">
      <c r="A58" s="2" t="s">
        <v>76</v>
      </c>
      <c r="B58" s="2" t="s">
        <v>1</v>
      </c>
      <c r="C58" s="2" t="s">
        <v>77</v>
      </c>
    </row>
    <row r="59" spans="1:34" x14ac:dyDescent="0.25">
      <c r="A59" s="2">
        <v>1</v>
      </c>
      <c r="B59" s="2" t="str">
        <f>INDEX(Cadastros!$B$5:$B$54,MATCH(LARGE(Cadastros!$S$5:$S$54,A59),Cadastros!$S$5:$S$54,0),1)</f>
        <v>Lucas</v>
      </c>
      <c r="C59" s="2">
        <f>INDEX(Cadastros!$R$5:$R$54,MATCH(LARGE(Cadastros!$S$5:$S$54,A59),Cadastros!$S$5:$S$54,0),1)</f>
        <v>0</v>
      </c>
    </row>
    <row r="60" spans="1:34" x14ac:dyDescent="0.25">
      <c r="A60" s="2">
        <v>2</v>
      </c>
      <c r="B60" s="2" t="e">
        <f>INDEX(Cadastros!$B$5:$B$54,MATCH(LARGE(Cadastros!$S$5:$S$54,A60),Cadastros!$S$5:$S$54,0),1)</f>
        <v>#NUM!</v>
      </c>
      <c r="C60" s="2" t="e">
        <f>INDEX(Cadastros!$R$5:$R$54,MATCH(LARGE(Cadastros!$S$5:$S$54,A60),Cadastros!$S$5:$S$54,0),1)</f>
        <v>#NUM!</v>
      </c>
    </row>
    <row r="61" spans="1:34" x14ac:dyDescent="0.25">
      <c r="A61" s="2">
        <v>3</v>
      </c>
      <c r="B61" s="2" t="e">
        <f>INDEX(Cadastros!$B$5:$B$54,MATCH(LARGE(Cadastros!$S$5:$S$54,A61),Cadastros!$S$5:$S$54,0),1)</f>
        <v>#NUM!</v>
      </c>
      <c r="C61" s="2" t="e">
        <f>INDEX(Cadastros!$R$5:$R$54,MATCH(LARGE(Cadastros!$S$5:$S$54,A61),Cadastros!$S$5:$S$54,0),1)</f>
        <v>#NUM!</v>
      </c>
    </row>
    <row r="63" spans="1:34" x14ac:dyDescent="0.25">
      <c r="A63" s="2" t="s">
        <v>80</v>
      </c>
    </row>
    <row r="64" spans="1:34" x14ac:dyDescent="0.25">
      <c r="A64" s="2">
        <v>1</v>
      </c>
      <c r="B64" s="2" t="str">
        <f>INDEX(Cadastros!$E$5:$E$19,MATCH(LARGE(Cadastros!$V$5:$V$19,A64),Cadastros!$V$5:$V$19,0),1)</f>
        <v>Marketing</v>
      </c>
      <c r="C64" s="2">
        <f>INDEX(Cadastros!$U$5:$U$19,MATCH(LARGE(Cadastros!$V$5:$V$19,A64),Cadastros!$V$5:$V$19,0),1)</f>
        <v>0</v>
      </c>
    </row>
    <row r="65" spans="1:22" x14ac:dyDescent="0.25">
      <c r="A65" s="2">
        <v>2</v>
      </c>
      <c r="B65" s="2" t="e">
        <f>INDEX(Cadastros!$E$5:$E$19,MATCH(LARGE(Cadastros!$V$5:$V$19,A65),Cadastros!$V$5:$V$19,0),1)</f>
        <v>#NUM!</v>
      </c>
      <c r="C65" s="2" t="e">
        <f>INDEX(Cadastros!$U$5:$U$19,MATCH(LARGE(Cadastros!$V$5:$V$19,A65),Cadastros!$V$5:$V$19,0),1)</f>
        <v>#NUM!</v>
      </c>
    </row>
    <row r="66" spans="1:22" x14ac:dyDescent="0.25">
      <c r="A66" s="2">
        <v>3</v>
      </c>
      <c r="B66" s="2" t="e">
        <f>INDEX(Cadastros!$E$5:$E$19,MATCH(LARGE(Cadastros!$V$5:$V$19,A66),Cadastros!$V$5:$V$19,0),1)</f>
        <v>#NUM!</v>
      </c>
      <c r="C66" s="2" t="e">
        <f>INDEX(Cadastros!$U$5:$U$19,MATCH(LARGE(Cadastros!$V$5:$V$19,A66),Cadastros!$V$5:$V$19,0),1)</f>
        <v>#NUM!</v>
      </c>
    </row>
    <row r="70" spans="1:22" x14ac:dyDescent="0.25">
      <c r="A70" s="37" t="s">
        <v>81</v>
      </c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4"/>
      <c r="S70" s="33"/>
      <c r="T70" s="33"/>
      <c r="U70" s="34"/>
      <c r="V70" s="33"/>
    </row>
    <row r="72" spans="1:22" x14ac:dyDescent="0.25">
      <c r="A72" s="36" t="s">
        <v>6</v>
      </c>
      <c r="B72" s="2" t="s">
        <v>82</v>
      </c>
    </row>
    <row r="75" spans="1:22" x14ac:dyDescent="0.25">
      <c r="A75" s="36" t="s">
        <v>34</v>
      </c>
      <c r="B75" s="4">
        <f>2020+B76</f>
        <v>2024</v>
      </c>
    </row>
    <row r="76" spans="1:22" x14ac:dyDescent="0.25">
      <c r="A76" s="36" t="s">
        <v>33</v>
      </c>
      <c r="B76" s="4">
        <v>4</v>
      </c>
    </row>
    <row r="78" spans="1:22" x14ac:dyDescent="0.25">
      <c r="A78" s="36" t="s">
        <v>43</v>
      </c>
      <c r="B78" s="8" t="str">
        <f>PROPER(TEXT(DATE(B75,1+B79,1),"mmmm"))</f>
        <v>Março</v>
      </c>
    </row>
    <row r="79" spans="1:22" x14ac:dyDescent="0.25">
      <c r="A79" s="36" t="s">
        <v>33</v>
      </c>
      <c r="B79" s="4">
        <v>2</v>
      </c>
    </row>
    <row r="82" spans="1:13" x14ac:dyDescent="0.25">
      <c r="A82" s="2" t="s">
        <v>69</v>
      </c>
      <c r="B82" s="16">
        <f>DATE(B75,1+B79,1)</f>
        <v>45352</v>
      </c>
    </row>
    <row r="83" spans="1:13" x14ac:dyDescent="0.25">
      <c r="A83" s="2" t="s">
        <v>72</v>
      </c>
      <c r="B83" s="16">
        <f>EOMONTH(B82,0)</f>
        <v>45382</v>
      </c>
    </row>
    <row r="86" spans="1:13" x14ac:dyDescent="0.25">
      <c r="B86" s="3">
        <v>5</v>
      </c>
      <c r="C86" s="3">
        <v>6</v>
      </c>
      <c r="D86" s="3">
        <v>7</v>
      </c>
      <c r="E86" s="3">
        <v>8</v>
      </c>
      <c r="F86" s="3">
        <v>9</v>
      </c>
      <c r="G86" s="3">
        <v>10</v>
      </c>
      <c r="H86" s="3">
        <v>11</v>
      </c>
      <c r="I86" s="3">
        <v>12</v>
      </c>
      <c r="J86" s="3">
        <v>13</v>
      </c>
      <c r="K86" s="3">
        <v>14</v>
      </c>
      <c r="L86" s="3">
        <v>15</v>
      </c>
    </row>
    <row r="87" spans="1:13" x14ac:dyDescent="0.25">
      <c r="A87" s="2" t="s">
        <v>86</v>
      </c>
      <c r="B87" s="3" t="str" cm="1">
        <f t="array" aca="1" ref="B87" ca="1">IF(INDIRECT("Cadastros!E" &amp; B86)="", "", INDIRECT("Cadastros!E" &amp; B86))</f>
        <v>Marketing</v>
      </c>
      <c r="C87" s="3" t="str" cm="1">
        <f t="array" aca="1" ref="C87" ca="1">IF(INDIRECT("Cadastros!E" &amp; C86)="", "", INDIRECT("Cadastros!E" &amp; C86))</f>
        <v/>
      </c>
      <c r="D87" s="3" t="str" cm="1">
        <f t="array" aca="1" ref="D87" ca="1">IF(INDIRECT("Cadastros!E" &amp; D86)="", "", INDIRECT("Cadastros!E" &amp; D86))</f>
        <v/>
      </c>
      <c r="E87" s="3" t="str" cm="1">
        <f t="array" aca="1" ref="E87" ca="1">IF(INDIRECT("Cadastros!E" &amp; E86)="", "", INDIRECT("Cadastros!E" &amp; E86))</f>
        <v/>
      </c>
      <c r="F87" s="3" t="str" cm="1">
        <f t="array" aca="1" ref="F87" ca="1">IF(INDIRECT("Cadastros!E" &amp; F86)="", "", INDIRECT("Cadastros!E" &amp; F86))</f>
        <v/>
      </c>
      <c r="G87" s="3" t="str" cm="1">
        <f t="array" aca="1" ref="G87" ca="1">IF(INDIRECT("Cadastros!E" &amp; G86)="", "", INDIRECT("Cadastros!E" &amp; G86))</f>
        <v/>
      </c>
      <c r="H87" s="3" t="str" cm="1">
        <f t="array" aca="1" ref="H87" ca="1">IF(INDIRECT("Cadastros!E" &amp; H86)="", "", INDIRECT("Cadastros!E" &amp; H86))</f>
        <v/>
      </c>
      <c r="I87" s="3" t="str" cm="1">
        <f t="array" aca="1" ref="I87" ca="1">IF(INDIRECT("Cadastros!E" &amp; I86)="", "", INDIRECT("Cadastros!E" &amp; I86))</f>
        <v/>
      </c>
      <c r="J87" s="3" t="str" cm="1">
        <f t="array" aca="1" ref="J87" ca="1">IF(INDIRECT("Cadastros!E" &amp; J86)="", "", INDIRECT("Cadastros!E" &amp; J86))</f>
        <v/>
      </c>
      <c r="K87" s="3" t="str" cm="1">
        <f t="array" aca="1" ref="K87" ca="1">IF(INDIRECT("Cadastros!E" &amp; K86)="", "", INDIRECT("Cadastros!E" &amp; K86))</f>
        <v/>
      </c>
      <c r="L87" s="3" t="str" cm="1">
        <f t="array" aca="1" ref="L87" ca="1">IF(INDIRECT("Cadastros!E" &amp; L86)="", "", INDIRECT("Cadastros!E" &amp; L86))</f>
        <v/>
      </c>
    </row>
    <row r="88" spans="1:13" x14ac:dyDescent="0.25">
      <c r="A88" s="2" t="s">
        <v>30</v>
      </c>
      <c r="B88" s="3">
        <f ca="1">IF(B87="",0,COUNTIFS(Tarefas!$A:$A,"&gt;="&amp;$B$82,Tarefas!$A:$A,"&lt;="&amp;$B$83,Tarefas!$C:$C,B$87,Tarefas!$J:$J,$M88))</f>
        <v>0</v>
      </c>
      <c r="C88" s="3">
        <f ca="1">IF(C87="",0,COUNTIFS(Tarefas!$A:$A,"&gt;="&amp;$B$82,Tarefas!$A:$A,"&lt;="&amp;$B$83,Tarefas!$C:$C,C$87,Tarefas!$J:$J,$M88))</f>
        <v>0</v>
      </c>
      <c r="D88" s="3">
        <f ca="1">IF(D87="",0,COUNTIFS(Tarefas!$A:$A,"&gt;="&amp;$B$82,Tarefas!$A:$A,"&lt;="&amp;$B$83,Tarefas!$C:$C,D$87,Tarefas!$J:$J,$M88))</f>
        <v>0</v>
      </c>
      <c r="E88" s="3">
        <f ca="1">IF(E87="",0,COUNTIFS(Tarefas!$A:$A,"&gt;="&amp;$B$82,Tarefas!$A:$A,"&lt;="&amp;$B$83,Tarefas!$C:$C,E$87,Tarefas!$J:$J,$M88))</f>
        <v>0</v>
      </c>
      <c r="F88" s="3">
        <f ca="1">IF(F87="",0,COUNTIFS(Tarefas!$A:$A,"&gt;="&amp;$B$82,Tarefas!$A:$A,"&lt;="&amp;$B$83,Tarefas!$C:$C,F$87,Tarefas!$J:$J,$M88))</f>
        <v>0</v>
      </c>
      <c r="G88" s="3">
        <f ca="1">IF(G87="",0,COUNTIFS(Tarefas!$A:$A,"&gt;="&amp;$B$82,Tarefas!$A:$A,"&lt;="&amp;$B$83,Tarefas!$C:$C,G$87,Tarefas!$J:$J,$M88))</f>
        <v>0</v>
      </c>
      <c r="H88" s="3">
        <f ca="1">IF(H87="",0,COUNTIFS(Tarefas!$A:$A,"&gt;="&amp;$B$82,Tarefas!$A:$A,"&lt;="&amp;$B$83,Tarefas!$C:$C,H$87,Tarefas!$J:$J,$M88))</f>
        <v>0</v>
      </c>
      <c r="I88" s="3">
        <f ca="1">IF(I87="",0,COUNTIFS(Tarefas!$A:$A,"&gt;="&amp;$B$82,Tarefas!$A:$A,"&lt;="&amp;$B$83,Tarefas!$C:$C,I$87,Tarefas!$J:$J,$M88))</f>
        <v>0</v>
      </c>
      <c r="J88" s="3">
        <f ca="1">IF(J87="",0,COUNTIFS(Tarefas!$A:$A,"&gt;="&amp;$B$82,Tarefas!$A:$A,"&lt;="&amp;$B$83,Tarefas!$C:$C,J$87,Tarefas!$J:$J,$M88))</f>
        <v>0</v>
      </c>
      <c r="K88" s="3">
        <f ca="1">IF(K87="",0,COUNTIFS(Tarefas!$A:$A,"&gt;="&amp;$B$82,Tarefas!$A:$A,"&lt;="&amp;$B$83,Tarefas!$C:$C,K$87,Tarefas!$J:$J,$M88))</f>
        <v>0</v>
      </c>
      <c r="L88" s="3">
        <f ca="1">IF(L87="",0,COUNTIFS(Tarefas!$A:$A,"&gt;="&amp;$B$82,Tarefas!$A:$A,"&lt;="&amp;$B$83,Tarefas!$C:$C,L$87,Tarefas!$J:$J,$M88))</f>
        <v>0</v>
      </c>
      <c r="M88" s="2" t="s">
        <v>73</v>
      </c>
    </row>
    <row r="89" spans="1:13" x14ac:dyDescent="0.25">
      <c r="A89" s="2" t="s">
        <v>29</v>
      </c>
      <c r="B89" s="3">
        <f ca="1">IF(B88="",0,COUNTIFS(Tarefas!$A:$A,"&gt;="&amp;$B$82,Tarefas!$A:$A,"&lt;="&amp;$B$83,Tarefas!$C:$C,B$87,Tarefas!$J:$J,$M89))</f>
        <v>0</v>
      </c>
      <c r="C89" s="3">
        <f ca="1">IF(C88="",0,COUNTIFS(Tarefas!$A:$A,"&gt;="&amp;$B$82,Tarefas!$A:$A,"&lt;="&amp;$B$83,Tarefas!$C:$C,C$87,Tarefas!$J:$J,$M89))</f>
        <v>0</v>
      </c>
      <c r="D89" s="3">
        <f ca="1">IF(D88="",0,COUNTIFS(Tarefas!$A:$A,"&gt;="&amp;$B$82,Tarefas!$A:$A,"&lt;="&amp;$B$83,Tarefas!$C:$C,D$87,Tarefas!$J:$J,$M89))</f>
        <v>0</v>
      </c>
      <c r="E89" s="3">
        <f ca="1">IF(E88="",0,COUNTIFS(Tarefas!$A:$A,"&gt;="&amp;$B$82,Tarefas!$A:$A,"&lt;="&amp;$B$83,Tarefas!$C:$C,E$87,Tarefas!$J:$J,$M89))</f>
        <v>0</v>
      </c>
      <c r="F89" s="3">
        <f ca="1">IF(F88="",0,COUNTIFS(Tarefas!$A:$A,"&gt;="&amp;$B$82,Tarefas!$A:$A,"&lt;="&amp;$B$83,Tarefas!$C:$C,F$87,Tarefas!$J:$J,$M89))</f>
        <v>0</v>
      </c>
      <c r="G89" s="3">
        <f ca="1">IF(G88="",0,COUNTIFS(Tarefas!$A:$A,"&gt;="&amp;$B$82,Tarefas!$A:$A,"&lt;="&amp;$B$83,Tarefas!$C:$C,G$87,Tarefas!$J:$J,$M89))</f>
        <v>0</v>
      </c>
      <c r="H89" s="3">
        <f ca="1">IF(H88="",0,COUNTIFS(Tarefas!$A:$A,"&gt;="&amp;$B$82,Tarefas!$A:$A,"&lt;="&amp;$B$83,Tarefas!$C:$C,H$87,Tarefas!$J:$J,$M89))</f>
        <v>0</v>
      </c>
      <c r="I89" s="3">
        <f ca="1">IF(I88="",0,COUNTIFS(Tarefas!$A:$A,"&gt;="&amp;$B$82,Tarefas!$A:$A,"&lt;="&amp;$B$83,Tarefas!$C:$C,I$87,Tarefas!$J:$J,$M89))</f>
        <v>0</v>
      </c>
      <c r="J89" s="3">
        <f ca="1">IF(J88="",0,COUNTIFS(Tarefas!$A:$A,"&gt;="&amp;$B$82,Tarefas!$A:$A,"&lt;="&amp;$B$83,Tarefas!$C:$C,J$87,Tarefas!$J:$J,$M89))</f>
        <v>0</v>
      </c>
      <c r="K89" s="3">
        <f ca="1">IF(K88="",0,COUNTIFS(Tarefas!$A:$A,"&gt;="&amp;$B$82,Tarefas!$A:$A,"&lt;="&amp;$B$83,Tarefas!$C:$C,K$87,Tarefas!$J:$J,$M89))</f>
        <v>0</v>
      </c>
      <c r="L89" s="3">
        <f ca="1">IF(L88="",0,COUNTIFS(Tarefas!$A:$A,"&gt;="&amp;$B$82,Tarefas!$A:$A,"&lt;="&amp;$B$83,Tarefas!$C:$C,L$87,Tarefas!$J:$J,$M89))</f>
        <v>0</v>
      </c>
      <c r="M89" s="2" t="s">
        <v>41</v>
      </c>
    </row>
    <row r="90" spans="1:13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3" spans="1:13" x14ac:dyDescent="0.25">
      <c r="A93" s="2" t="s">
        <v>87</v>
      </c>
      <c r="B93" s="2" t="str">
        <f>'Dashboard 3 - Setor'!B19</f>
        <v>Marketing</v>
      </c>
    </row>
    <row r="95" spans="1:13" x14ac:dyDescent="0.25">
      <c r="A95" s="2" t="s">
        <v>30</v>
      </c>
      <c r="B95" s="2">
        <f>COUNTIFS(Tarefas!$A:$A,"&gt;="&amp;$B$82,Tarefas!$A:$A,"&lt;="&amp;$B$83,Tarefas!$C:$C,B$93,Tarefas!$J:$J,$C95)</f>
        <v>0</v>
      </c>
      <c r="C95" s="2" t="s">
        <v>73</v>
      </c>
      <c r="D95" s="5" t="str">
        <f>IFERROR(B95/(B95+B96),"-")</f>
        <v>-</v>
      </c>
      <c r="G95" s="15"/>
      <c r="H95" s="3" t="s">
        <v>73</v>
      </c>
    </row>
    <row r="96" spans="1:13" x14ac:dyDescent="0.25">
      <c r="A96" s="2" t="s">
        <v>29</v>
      </c>
      <c r="B96" s="2">
        <f>COUNTIFS(Tarefas!$A:$A,"&gt;="&amp;$B$82,Tarefas!$A:$A,"&lt;="&amp;$B$83,Tarefas!$C:$C,B$93,Tarefas!$J:$J,$C96)</f>
        <v>0</v>
      </c>
      <c r="C96" s="2" t="s">
        <v>41</v>
      </c>
      <c r="D96" s="5" t="str">
        <f>IFERROR(B96/(B96+B95),"-")</f>
        <v>-</v>
      </c>
      <c r="G96" s="15" t="s">
        <v>47</v>
      </c>
      <c r="H96" s="3">
        <f>COUNTIFS(Tarefas!$A:$A,"&gt;="&amp;$B$82,Tarefas!$A:$A,"&lt;="&amp;$B$83,Tarefas!$C:$C,$B$93,Tarefas!$J:$J,$H$95,Tarefas!$E:$E,G96)</f>
        <v>0</v>
      </c>
    </row>
    <row r="97" spans="1:22" x14ac:dyDescent="0.25">
      <c r="G97" s="15" t="s">
        <v>48</v>
      </c>
      <c r="H97" s="3">
        <f>COUNTIFS(Tarefas!$A:$A,"&gt;="&amp;$B$82,Tarefas!$A:$A,"&lt;="&amp;$B$83,Tarefas!$C:$C,$B$93,Tarefas!$J:$J,$H$95,Tarefas!$E:$E,G97)</f>
        <v>0</v>
      </c>
      <c r="J97" s="3" t="s">
        <v>73</v>
      </c>
      <c r="K97" s="3" t="s">
        <v>73</v>
      </c>
      <c r="L97" s="3" t="s">
        <v>73</v>
      </c>
    </row>
    <row r="98" spans="1:22" x14ac:dyDescent="0.25">
      <c r="G98" s="15" t="s">
        <v>49</v>
      </c>
      <c r="H98" s="3">
        <f>COUNTIFS(Tarefas!$A:$A,"&gt;="&amp;$B$82,Tarefas!$A:$A,"&lt;="&amp;$B$83,Tarefas!$C:$C,$B$93,Tarefas!$J:$J,$H$95,Tarefas!$E:$E,G98)</f>
        <v>0</v>
      </c>
      <c r="J98" s="3" t="s">
        <v>58</v>
      </c>
      <c r="K98" s="3" t="s">
        <v>59</v>
      </c>
      <c r="L98" s="3" t="s">
        <v>60</v>
      </c>
    </row>
    <row r="99" spans="1:22" x14ac:dyDescent="0.25">
      <c r="G99" s="15" t="s">
        <v>61</v>
      </c>
      <c r="H99" s="3">
        <f>COUNTIFS(Tarefas!$A:$A,"&gt;="&amp;$B$82,Tarefas!$A:$A,"&lt;="&amp;$B$83,Tarefas!$C:$C,$B$93,Tarefas!$J:$J,$H$95,Tarefas!$E:$E,"")</f>
        <v>0</v>
      </c>
      <c r="J99" s="3">
        <f>COUNTIFS(Tarefas!$A:$A,"&gt;="&amp;$B$82,Tarefas!$A:$A,"&lt;="&amp;$B$83,Tarefas!$C:$C,$B$93,Tarefas!$J:$J,$J$97,Tarefas!$H:$H,"&lt;"&amp;0)</f>
        <v>0</v>
      </c>
      <c r="K99" s="3">
        <f>COUNTIFS(Tarefas!$A:$A,"&gt;="&amp;$B$82,Tarefas!$A:$A,"&lt;="&amp;$B$83,Tarefas!$C:$C,$B$93,Tarefas!$J:$J,$K$97,Tarefas!$H:$H,"&gt;="&amp;0)</f>
        <v>0</v>
      </c>
      <c r="L99" s="3">
        <f>COUNTIFS(Tarefas!$A:$A,"&gt;="&amp;$B$82,Tarefas!$A:$A,"&lt;="&amp;$B$83,Tarefas!$C:$C,$B$93,Tarefas!$J:$J,$L$97,Tarefas!$F:$F,"")</f>
        <v>0</v>
      </c>
    </row>
    <row r="103" spans="1:22" x14ac:dyDescent="0.25">
      <c r="A103" s="37" t="s">
        <v>88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4"/>
      <c r="S103" s="33"/>
      <c r="T103" s="33"/>
      <c r="U103" s="34"/>
      <c r="V103" s="33"/>
    </row>
    <row r="106" spans="1:22" x14ac:dyDescent="0.25">
      <c r="A106" s="36" t="s">
        <v>6</v>
      </c>
      <c r="B106" s="2" t="s">
        <v>89</v>
      </c>
    </row>
    <row r="109" spans="1:22" x14ac:dyDescent="0.25">
      <c r="A109" s="36" t="s">
        <v>34</v>
      </c>
      <c r="B109" s="4">
        <f>2020+B110</f>
        <v>2024</v>
      </c>
    </row>
    <row r="110" spans="1:22" x14ac:dyDescent="0.25">
      <c r="A110" s="36" t="s">
        <v>33</v>
      </c>
      <c r="B110" s="4">
        <v>4</v>
      </c>
    </row>
    <row r="112" spans="1:22" x14ac:dyDescent="0.25">
      <c r="A112" s="36" t="s">
        <v>43</v>
      </c>
      <c r="B112" s="8" t="str">
        <f>PROPER(TEXT(DATE(B109,1+B113,1),"mmmm"))</f>
        <v>Março</v>
      </c>
    </row>
    <row r="113" spans="1:52" x14ac:dyDescent="0.25">
      <c r="A113" s="36" t="s">
        <v>33</v>
      </c>
      <c r="B113" s="4">
        <v>2</v>
      </c>
    </row>
    <row r="116" spans="1:52" x14ac:dyDescent="0.25">
      <c r="A116" s="2" t="s">
        <v>69</v>
      </c>
      <c r="B116" s="16">
        <f>DATE(B109,1+B113,1)</f>
        <v>45352</v>
      </c>
    </row>
    <row r="117" spans="1:52" x14ac:dyDescent="0.25">
      <c r="A117" s="2" t="s">
        <v>72</v>
      </c>
      <c r="B117" s="16">
        <f>EOMONTH(B116,0)</f>
        <v>45382</v>
      </c>
    </row>
    <row r="119" spans="1:52" x14ac:dyDescent="0.25">
      <c r="A119" s="2" t="s">
        <v>90</v>
      </c>
      <c r="B119" s="2">
        <v>5</v>
      </c>
      <c r="C119" s="2" t="s">
        <v>7</v>
      </c>
      <c r="D119" s="4" t="str">
        <f>"Mostrando responsável cadastrado "&amp;B119-4&amp;" até o cadastrado "&amp;L120-4</f>
        <v>Mostrando responsável cadastrado 1 até o cadastrado 11</v>
      </c>
    </row>
    <row r="120" spans="1:52" x14ac:dyDescent="0.25">
      <c r="B120" s="3">
        <f>B119</f>
        <v>5</v>
      </c>
      <c r="C120" s="3">
        <f>B120+1</f>
        <v>6</v>
      </c>
      <c r="D120" s="3">
        <f t="shared" ref="D120:AY120" si="2">C120+1</f>
        <v>7</v>
      </c>
      <c r="E120" s="3">
        <f t="shared" si="2"/>
        <v>8</v>
      </c>
      <c r="F120" s="3">
        <f t="shared" si="2"/>
        <v>9</v>
      </c>
      <c r="G120" s="3">
        <f t="shared" si="2"/>
        <v>10</v>
      </c>
      <c r="H120" s="3">
        <f t="shared" si="2"/>
        <v>11</v>
      </c>
      <c r="I120" s="3">
        <f t="shared" si="2"/>
        <v>12</v>
      </c>
      <c r="J120" s="3">
        <f t="shared" si="2"/>
        <v>13</v>
      </c>
      <c r="K120" s="3">
        <f t="shared" si="2"/>
        <v>14</v>
      </c>
      <c r="L120" s="3">
        <f t="shared" si="2"/>
        <v>15</v>
      </c>
      <c r="M120" s="3">
        <f t="shared" si="2"/>
        <v>16</v>
      </c>
      <c r="N120" s="3">
        <f t="shared" si="2"/>
        <v>17</v>
      </c>
      <c r="O120" s="3">
        <f t="shared" si="2"/>
        <v>18</v>
      </c>
      <c r="P120" s="3">
        <f t="shared" si="2"/>
        <v>19</v>
      </c>
      <c r="Q120" s="3">
        <f t="shared" si="2"/>
        <v>20</v>
      </c>
      <c r="R120" s="3">
        <f t="shared" si="2"/>
        <v>21</v>
      </c>
      <c r="S120" s="3">
        <f t="shared" si="2"/>
        <v>22</v>
      </c>
      <c r="T120" s="3">
        <f t="shared" si="2"/>
        <v>23</v>
      </c>
      <c r="U120" s="3">
        <f t="shared" si="2"/>
        <v>24</v>
      </c>
      <c r="V120" s="3">
        <f t="shared" si="2"/>
        <v>25</v>
      </c>
      <c r="W120" s="3">
        <f t="shared" si="2"/>
        <v>26</v>
      </c>
      <c r="X120" s="3">
        <f t="shared" si="2"/>
        <v>27</v>
      </c>
      <c r="Y120" s="3">
        <f t="shared" si="2"/>
        <v>28</v>
      </c>
      <c r="Z120" s="3">
        <f t="shared" si="2"/>
        <v>29</v>
      </c>
      <c r="AA120" s="3">
        <f t="shared" si="2"/>
        <v>30</v>
      </c>
      <c r="AB120" s="3">
        <f t="shared" si="2"/>
        <v>31</v>
      </c>
      <c r="AC120" s="3">
        <f t="shared" si="2"/>
        <v>32</v>
      </c>
      <c r="AD120" s="3">
        <f t="shared" si="2"/>
        <v>33</v>
      </c>
      <c r="AE120" s="3">
        <f t="shared" si="2"/>
        <v>34</v>
      </c>
      <c r="AF120" s="3">
        <f t="shared" si="2"/>
        <v>35</v>
      </c>
      <c r="AG120" s="3">
        <f t="shared" si="2"/>
        <v>36</v>
      </c>
      <c r="AH120" s="3">
        <f t="shared" si="2"/>
        <v>37</v>
      </c>
      <c r="AI120" s="3">
        <f t="shared" si="2"/>
        <v>38</v>
      </c>
      <c r="AJ120" s="3">
        <f t="shared" si="2"/>
        <v>39</v>
      </c>
      <c r="AK120" s="3">
        <f t="shared" si="2"/>
        <v>40</v>
      </c>
      <c r="AL120" s="3">
        <f t="shared" si="2"/>
        <v>41</v>
      </c>
      <c r="AM120" s="3">
        <f t="shared" si="2"/>
        <v>42</v>
      </c>
      <c r="AN120" s="3">
        <f t="shared" si="2"/>
        <v>43</v>
      </c>
      <c r="AO120" s="3">
        <f t="shared" si="2"/>
        <v>44</v>
      </c>
      <c r="AP120" s="3">
        <f t="shared" si="2"/>
        <v>45</v>
      </c>
      <c r="AQ120" s="3">
        <f t="shared" si="2"/>
        <v>46</v>
      </c>
      <c r="AR120" s="3">
        <f t="shared" si="2"/>
        <v>47</v>
      </c>
      <c r="AS120" s="3">
        <f t="shared" si="2"/>
        <v>48</v>
      </c>
      <c r="AT120" s="3">
        <f t="shared" si="2"/>
        <v>49</v>
      </c>
      <c r="AU120" s="3">
        <f t="shared" si="2"/>
        <v>50</v>
      </c>
      <c r="AV120" s="3">
        <f t="shared" si="2"/>
        <v>51</v>
      </c>
      <c r="AW120" s="3">
        <f t="shared" si="2"/>
        <v>52</v>
      </c>
      <c r="AX120" s="3">
        <f t="shared" si="2"/>
        <v>53</v>
      </c>
      <c r="AY120" s="3">
        <f t="shared" si="2"/>
        <v>54</v>
      </c>
    </row>
    <row r="121" spans="1:52" x14ac:dyDescent="0.25">
      <c r="A121" s="2" t="s">
        <v>86</v>
      </c>
      <c r="B121" s="3" t="str" cm="1">
        <f t="array" aca="1" ref="B121" ca="1">IF(INDIRECT("Cadastros!B" &amp; B120)="", "", INDIRECT("Cadastros!B" &amp; B120))</f>
        <v>Lucas</v>
      </c>
      <c r="C121" s="3" t="str" cm="1">
        <f t="array" aca="1" ref="C121" ca="1">IF(INDIRECT("Cadastros!B" &amp; C120)="", "", INDIRECT("Cadastros!B" &amp; C120))</f>
        <v/>
      </c>
      <c r="D121" s="3" t="str" cm="1">
        <f t="array" aca="1" ref="D121" ca="1">IF(INDIRECT("Cadastros!B" &amp; D120)="", "", INDIRECT("Cadastros!B" &amp; D120))</f>
        <v/>
      </c>
      <c r="E121" s="3" t="str" cm="1">
        <f t="array" aca="1" ref="E121" ca="1">IF(INDIRECT("Cadastros!B" &amp; E120)="", "", INDIRECT("Cadastros!B" &amp; E120))</f>
        <v/>
      </c>
      <c r="F121" s="3" t="str" cm="1">
        <f t="array" aca="1" ref="F121" ca="1">IF(INDIRECT("Cadastros!B" &amp; F120)="", "", INDIRECT("Cadastros!B" &amp; F120))</f>
        <v/>
      </c>
      <c r="G121" s="3" t="str" cm="1">
        <f t="array" aca="1" ref="G121" ca="1">IF(INDIRECT("Cadastros!B" &amp; G120)="", "", INDIRECT("Cadastros!B" &amp; G120))</f>
        <v/>
      </c>
      <c r="H121" s="3" t="str" cm="1">
        <f t="array" aca="1" ref="H121" ca="1">IF(INDIRECT("Cadastros!B" &amp; H120)="", "", INDIRECT("Cadastros!B" &amp; H120))</f>
        <v/>
      </c>
      <c r="I121" s="3" t="str" cm="1">
        <f t="array" aca="1" ref="I121" ca="1">IF(INDIRECT("Cadastros!B" &amp; I120)="", "", INDIRECT("Cadastros!B" &amp; I120))</f>
        <v/>
      </c>
      <c r="J121" s="3" t="str" cm="1">
        <f t="array" aca="1" ref="J121" ca="1">IF(INDIRECT("Cadastros!B" &amp; J120)="", "", INDIRECT("Cadastros!B" &amp; J120))</f>
        <v/>
      </c>
      <c r="K121" s="3" t="str" cm="1">
        <f t="array" aca="1" ref="K121" ca="1">IF(INDIRECT("Cadastros!B" &amp; K120)="", "", INDIRECT("Cadastros!B" &amp; K120))</f>
        <v/>
      </c>
      <c r="L121" s="3" t="str" cm="1">
        <f t="array" aca="1" ref="L121" ca="1">IF(INDIRECT("Cadastros!B" &amp; L120)="", "", INDIRECT("Cadastros!B" &amp; L120))</f>
        <v/>
      </c>
      <c r="M121" s="3" t="str" cm="1">
        <f t="array" aca="1" ref="M121" ca="1">IF(INDIRECT("Cadastros!B" &amp; M120)="", "", INDIRECT("Cadastros!B" &amp; M120))</f>
        <v/>
      </c>
      <c r="N121" s="3" t="str" cm="1">
        <f t="array" aca="1" ref="N121" ca="1">IF(INDIRECT("Cadastros!B" &amp; N120)="", "", INDIRECT("Cadastros!B" &amp; N120))</f>
        <v/>
      </c>
      <c r="O121" s="3" t="str" cm="1">
        <f t="array" aca="1" ref="O121" ca="1">IF(INDIRECT("Cadastros!B" &amp; O120)="", "", INDIRECT("Cadastros!B" &amp; O120))</f>
        <v/>
      </c>
      <c r="P121" s="3" t="str" cm="1">
        <f t="array" aca="1" ref="P121" ca="1">IF(INDIRECT("Cadastros!B" &amp; P120)="", "", INDIRECT("Cadastros!B" &amp; P120))</f>
        <v/>
      </c>
      <c r="Q121" s="3" t="str" cm="1">
        <f t="array" aca="1" ref="Q121" ca="1">IF(INDIRECT("Cadastros!B" &amp; Q120)="", "", INDIRECT("Cadastros!B" &amp; Q120))</f>
        <v/>
      </c>
      <c r="R121" s="3" t="str" cm="1">
        <f t="array" aca="1" ref="R121" ca="1">IF(INDIRECT("Cadastros!B" &amp; R120)="", "", INDIRECT("Cadastros!B" &amp; R120))</f>
        <v/>
      </c>
      <c r="S121" s="3" t="str" cm="1">
        <f t="array" aca="1" ref="S121" ca="1">IF(INDIRECT("Cadastros!B" &amp; S120)="", "", INDIRECT("Cadastros!B" &amp; S120))</f>
        <v/>
      </c>
      <c r="T121" s="3" t="str" cm="1">
        <f t="array" aca="1" ref="T121" ca="1">IF(INDIRECT("Cadastros!B" &amp; T120)="", "", INDIRECT("Cadastros!B" &amp; T120))</f>
        <v/>
      </c>
      <c r="U121" s="3" t="str" cm="1">
        <f t="array" aca="1" ref="U121" ca="1">IF(INDIRECT("Cadastros!B" &amp; U120)="", "", INDIRECT("Cadastros!B" &amp; U120))</f>
        <v/>
      </c>
      <c r="V121" s="3" t="str" cm="1">
        <f t="array" aca="1" ref="V121" ca="1">IF(INDIRECT("Cadastros!B" &amp; V120)="", "", INDIRECT("Cadastros!B" &amp; V120))</f>
        <v/>
      </c>
      <c r="W121" s="3" t="str" cm="1">
        <f t="array" aca="1" ref="W121" ca="1">IF(INDIRECT("Cadastros!B" &amp; W120)="", "", INDIRECT("Cadastros!B" &amp; W120))</f>
        <v/>
      </c>
      <c r="X121" s="3" t="str" cm="1">
        <f t="array" aca="1" ref="X121" ca="1">IF(INDIRECT("Cadastros!B" &amp; X120)="", "", INDIRECT("Cadastros!B" &amp; X120))</f>
        <v/>
      </c>
      <c r="Y121" s="3" t="str" cm="1">
        <f t="array" aca="1" ref="Y121" ca="1">IF(INDIRECT("Cadastros!B" &amp; Y120)="", "", INDIRECT("Cadastros!B" &amp; Y120))</f>
        <v/>
      </c>
      <c r="Z121" s="3" t="str" cm="1">
        <f t="array" aca="1" ref="Z121" ca="1">IF(INDIRECT("Cadastros!B" &amp; Z120)="", "", INDIRECT("Cadastros!B" &amp; Z120))</f>
        <v/>
      </c>
      <c r="AA121" s="3" t="str" cm="1">
        <f t="array" aca="1" ref="AA121" ca="1">IF(INDIRECT("Cadastros!B" &amp; AA120)="", "", INDIRECT("Cadastros!B" &amp; AA120))</f>
        <v/>
      </c>
      <c r="AB121" s="3" t="str" cm="1">
        <f t="array" aca="1" ref="AB121" ca="1">IF(INDIRECT("Cadastros!B" &amp; AB120)="", "", INDIRECT("Cadastros!B" &amp; AB120))</f>
        <v/>
      </c>
      <c r="AC121" s="3" t="str" cm="1">
        <f t="array" aca="1" ref="AC121" ca="1">IF(INDIRECT("Cadastros!B" &amp; AC120)="", "", INDIRECT("Cadastros!B" &amp; AC120))</f>
        <v/>
      </c>
      <c r="AD121" s="3" t="str" cm="1">
        <f t="array" aca="1" ref="AD121" ca="1">IF(INDIRECT("Cadastros!B" &amp; AD120)="", "", INDIRECT("Cadastros!B" &amp; AD120))</f>
        <v/>
      </c>
      <c r="AE121" s="3" t="str" cm="1">
        <f t="array" aca="1" ref="AE121" ca="1">IF(INDIRECT("Cadastros!B" &amp; AE120)="", "", INDIRECT("Cadastros!B" &amp; AE120))</f>
        <v/>
      </c>
      <c r="AF121" s="3" t="str" cm="1">
        <f t="array" aca="1" ref="AF121" ca="1">IF(INDIRECT("Cadastros!B" &amp; AF120)="", "", INDIRECT("Cadastros!B" &amp; AF120))</f>
        <v/>
      </c>
      <c r="AG121" s="3" t="str" cm="1">
        <f t="array" aca="1" ref="AG121" ca="1">IF(INDIRECT("Cadastros!B" &amp; AG120)="", "", INDIRECT("Cadastros!B" &amp; AG120))</f>
        <v/>
      </c>
      <c r="AH121" s="3" t="str" cm="1">
        <f t="array" aca="1" ref="AH121" ca="1">IF(INDIRECT("Cadastros!B" &amp; AH120)="", "", INDIRECT("Cadastros!B" &amp; AH120))</f>
        <v/>
      </c>
      <c r="AI121" s="3" t="str" cm="1">
        <f t="array" aca="1" ref="AI121" ca="1">IF(INDIRECT("Cadastros!B" &amp; AI120)="", "", INDIRECT("Cadastros!B" &amp; AI120))</f>
        <v/>
      </c>
      <c r="AJ121" s="3" t="str" cm="1">
        <f t="array" aca="1" ref="AJ121" ca="1">IF(INDIRECT("Cadastros!B" &amp; AJ120)="", "", INDIRECT("Cadastros!B" &amp; AJ120))</f>
        <v/>
      </c>
      <c r="AK121" s="3" t="str" cm="1">
        <f t="array" aca="1" ref="AK121" ca="1">IF(INDIRECT("Cadastros!B" &amp; AK120)="", "", INDIRECT("Cadastros!B" &amp; AK120))</f>
        <v/>
      </c>
      <c r="AL121" s="3" t="str" cm="1">
        <f t="array" aca="1" ref="AL121" ca="1">IF(INDIRECT("Cadastros!B" &amp; AL120)="", "", INDIRECT("Cadastros!B" &amp; AL120))</f>
        <v/>
      </c>
      <c r="AM121" s="3" t="str" cm="1">
        <f t="array" aca="1" ref="AM121" ca="1">IF(INDIRECT("Cadastros!B" &amp; AM120)="", "", INDIRECT("Cadastros!B" &amp; AM120))</f>
        <v/>
      </c>
      <c r="AN121" s="3" t="str" cm="1">
        <f t="array" aca="1" ref="AN121" ca="1">IF(INDIRECT("Cadastros!B" &amp; AN120)="", "", INDIRECT("Cadastros!B" &amp; AN120))</f>
        <v/>
      </c>
      <c r="AO121" s="3" t="str" cm="1">
        <f t="array" aca="1" ref="AO121" ca="1">IF(INDIRECT("Cadastros!B" &amp; AO120)="", "", INDIRECT("Cadastros!B" &amp; AO120))</f>
        <v/>
      </c>
      <c r="AP121" s="3" t="str" cm="1">
        <f t="array" aca="1" ref="AP121" ca="1">IF(INDIRECT("Cadastros!B" &amp; AP120)="", "", INDIRECT("Cadastros!B" &amp; AP120))</f>
        <v/>
      </c>
      <c r="AQ121" s="3" t="str" cm="1">
        <f t="array" aca="1" ref="AQ121" ca="1">IF(INDIRECT("Cadastros!B" &amp; AQ120)="", "", INDIRECT("Cadastros!B" &amp; AQ120))</f>
        <v/>
      </c>
      <c r="AR121" s="3" t="str" cm="1">
        <f t="array" aca="1" ref="AR121" ca="1">IF(INDIRECT("Cadastros!B" &amp; AR120)="", "", INDIRECT("Cadastros!B" &amp; AR120))</f>
        <v/>
      </c>
      <c r="AS121" s="3" t="str" cm="1">
        <f t="array" aca="1" ref="AS121" ca="1">IF(INDIRECT("Cadastros!B" &amp; AS120)="", "", INDIRECT("Cadastros!B" &amp; AS120))</f>
        <v/>
      </c>
      <c r="AT121" s="3" t="str" cm="1">
        <f t="array" aca="1" ref="AT121" ca="1">IF(INDIRECT("Cadastros!B" &amp; AT120)="", "", INDIRECT("Cadastros!B" &amp; AT120))</f>
        <v/>
      </c>
      <c r="AU121" s="3" t="str" cm="1">
        <f t="array" aca="1" ref="AU121" ca="1">IF(INDIRECT("Cadastros!B" &amp; AU120)="", "", INDIRECT("Cadastros!B" &amp; AU120))</f>
        <v/>
      </c>
      <c r="AV121" s="3" t="str" cm="1">
        <f t="array" aca="1" ref="AV121" ca="1">IF(INDIRECT("Cadastros!B" &amp; AV120)="", "", INDIRECT("Cadastros!B" &amp; AV120))</f>
        <v/>
      </c>
      <c r="AW121" s="3" t="str" cm="1">
        <f t="array" aca="1" ref="AW121" ca="1">IF(INDIRECT("Cadastros!B" &amp; AW120)="", "", INDIRECT("Cadastros!B" &amp; AW120))</f>
        <v/>
      </c>
      <c r="AX121" s="3" t="str" cm="1">
        <f t="array" aca="1" ref="AX121" ca="1">IF(INDIRECT("Cadastros!B" &amp; AX120)="", "", INDIRECT("Cadastros!B" &amp; AX120))</f>
        <v/>
      </c>
      <c r="AY121" s="3" t="str" cm="1">
        <f t="array" aca="1" ref="AY121" ca="1">IF(INDIRECT("Cadastros!B" &amp; AY120)="", "", INDIRECT("Cadastros!B" &amp; AY120))</f>
        <v/>
      </c>
    </row>
    <row r="122" spans="1:52" x14ac:dyDescent="0.25">
      <c r="A122" s="2" t="s">
        <v>30</v>
      </c>
      <c r="B122" s="3">
        <f ca="1">IF(B$121="",0,COUNTIFS(Tarefas!$A:$A,"&gt;="&amp;$B$116,Tarefas!$A:$A,"&lt;="&amp;$B$117,Tarefas!$D:$D,B$121,Tarefas!$J:$J,$AZ122))</f>
        <v>0</v>
      </c>
      <c r="C122" s="3">
        <f ca="1">IF(C$121="",0,COUNTIFS(Tarefas!$A:$A,"&gt;="&amp;$B$116,Tarefas!$A:$A,"&lt;="&amp;$B$117,Tarefas!$D:$D,C$121,Tarefas!$J:$J,$AZ122))</f>
        <v>0</v>
      </c>
      <c r="D122" s="3">
        <f ca="1">IF(D$121="",0,COUNTIFS(Tarefas!$A:$A,"&gt;="&amp;$B$116,Tarefas!$A:$A,"&lt;="&amp;$B$117,Tarefas!$D:$D,D$121,Tarefas!$J:$J,$AZ122))</f>
        <v>0</v>
      </c>
      <c r="E122" s="3">
        <f ca="1">IF(E$121="",0,COUNTIFS(Tarefas!$A:$A,"&gt;="&amp;$B$116,Tarefas!$A:$A,"&lt;="&amp;$B$117,Tarefas!$D:$D,E$121,Tarefas!$J:$J,$AZ122))</f>
        <v>0</v>
      </c>
      <c r="F122" s="3">
        <f ca="1">IF(F$121="",0,COUNTIFS(Tarefas!$A:$A,"&gt;="&amp;$B$116,Tarefas!$A:$A,"&lt;="&amp;$B$117,Tarefas!$D:$D,F$121,Tarefas!$J:$J,$AZ122))</f>
        <v>0</v>
      </c>
      <c r="G122" s="3">
        <f ca="1">IF(G$121="",0,COUNTIFS(Tarefas!$A:$A,"&gt;="&amp;$B$116,Tarefas!$A:$A,"&lt;="&amp;$B$117,Tarefas!$D:$D,G$121,Tarefas!$J:$J,$AZ122))</f>
        <v>0</v>
      </c>
      <c r="H122" s="3">
        <f ca="1">IF(H$121="",0,COUNTIFS(Tarefas!$A:$A,"&gt;="&amp;$B$116,Tarefas!$A:$A,"&lt;="&amp;$B$117,Tarefas!$D:$D,H$121,Tarefas!$J:$J,$AZ122))</f>
        <v>0</v>
      </c>
      <c r="I122" s="3">
        <f ca="1">IF(I$121="",0,COUNTIFS(Tarefas!$A:$A,"&gt;="&amp;$B$116,Tarefas!$A:$A,"&lt;="&amp;$B$117,Tarefas!$D:$D,I$121,Tarefas!$J:$J,$AZ122))</f>
        <v>0</v>
      </c>
      <c r="J122" s="3">
        <f ca="1">IF(J$121="",0,COUNTIFS(Tarefas!$A:$A,"&gt;="&amp;$B$116,Tarefas!$A:$A,"&lt;="&amp;$B$117,Tarefas!$D:$D,J$121,Tarefas!$J:$J,$AZ122))</f>
        <v>0</v>
      </c>
      <c r="K122" s="3">
        <f ca="1">IF(K$121="",0,COUNTIFS(Tarefas!$A:$A,"&gt;="&amp;$B$116,Tarefas!$A:$A,"&lt;="&amp;$B$117,Tarefas!$D:$D,K$121,Tarefas!$J:$J,$AZ122))</f>
        <v>0</v>
      </c>
      <c r="L122" s="3">
        <f ca="1">IF(L$121="",0,COUNTIFS(Tarefas!$A:$A,"&gt;="&amp;$B$116,Tarefas!$A:$A,"&lt;="&amp;$B$117,Tarefas!$D:$D,L$121,Tarefas!$J:$J,$AZ122))</f>
        <v>0</v>
      </c>
      <c r="M122" s="3">
        <f ca="1">IF(M$121="",0,COUNTIFS(Tarefas!$A:$A,"&gt;="&amp;$B$116,Tarefas!$A:$A,"&lt;="&amp;$B$117,Tarefas!$D:$D,M$121,Tarefas!$J:$J,$AZ122))</f>
        <v>0</v>
      </c>
      <c r="N122" s="3">
        <f ca="1">IF(N$121="",0,COUNTIFS(Tarefas!$A:$A,"&gt;="&amp;$B$116,Tarefas!$A:$A,"&lt;="&amp;$B$117,Tarefas!$D:$D,N$121,Tarefas!$J:$J,$AZ122))</f>
        <v>0</v>
      </c>
      <c r="O122" s="3">
        <f ca="1">IF(O$121="",0,COUNTIFS(Tarefas!$A:$A,"&gt;="&amp;$B$116,Tarefas!$A:$A,"&lt;="&amp;$B$117,Tarefas!$D:$D,O$121,Tarefas!$J:$J,$AZ122))</f>
        <v>0</v>
      </c>
      <c r="P122" s="3">
        <f ca="1">IF(P$121="",0,COUNTIFS(Tarefas!$A:$A,"&gt;="&amp;$B$116,Tarefas!$A:$A,"&lt;="&amp;$B$117,Tarefas!$D:$D,P$121,Tarefas!$J:$J,$AZ122))</f>
        <v>0</v>
      </c>
      <c r="Q122" s="3">
        <f ca="1">IF(Q$121="",0,COUNTIFS(Tarefas!$A:$A,"&gt;="&amp;$B$116,Tarefas!$A:$A,"&lt;="&amp;$B$117,Tarefas!$D:$D,Q$121,Tarefas!$J:$J,$AZ122))</f>
        <v>0</v>
      </c>
      <c r="R122" s="3">
        <f ca="1">IF(R$121="",0,COUNTIFS(Tarefas!$A:$A,"&gt;="&amp;$B$116,Tarefas!$A:$A,"&lt;="&amp;$B$117,Tarefas!$D:$D,R$121,Tarefas!$J:$J,$AZ122))</f>
        <v>0</v>
      </c>
      <c r="S122" s="3">
        <f ca="1">IF(S$121="",0,COUNTIFS(Tarefas!$A:$A,"&gt;="&amp;$B$116,Tarefas!$A:$A,"&lt;="&amp;$B$117,Tarefas!$D:$D,S$121,Tarefas!$J:$J,$AZ122))</f>
        <v>0</v>
      </c>
      <c r="T122" s="3">
        <f ca="1">IF(T$121="",0,COUNTIFS(Tarefas!$A:$A,"&gt;="&amp;$B$116,Tarefas!$A:$A,"&lt;="&amp;$B$117,Tarefas!$D:$D,T$121,Tarefas!$J:$J,$AZ122))</f>
        <v>0</v>
      </c>
      <c r="U122" s="3">
        <f ca="1">IF(U$121="",0,COUNTIFS(Tarefas!$A:$A,"&gt;="&amp;$B$116,Tarefas!$A:$A,"&lt;="&amp;$B$117,Tarefas!$D:$D,U$121,Tarefas!$J:$J,$AZ122))</f>
        <v>0</v>
      </c>
      <c r="V122" s="3">
        <f ca="1">IF(V$121="",0,COUNTIFS(Tarefas!$A:$A,"&gt;="&amp;$B$116,Tarefas!$A:$A,"&lt;="&amp;$B$117,Tarefas!$D:$D,V$121,Tarefas!$J:$J,$AZ122))</f>
        <v>0</v>
      </c>
      <c r="W122" s="3">
        <f ca="1">IF(W$121="",0,COUNTIFS(Tarefas!$A:$A,"&gt;="&amp;$B$116,Tarefas!$A:$A,"&lt;="&amp;$B$117,Tarefas!$D:$D,W$121,Tarefas!$J:$J,$AZ122))</f>
        <v>0</v>
      </c>
      <c r="X122" s="3">
        <f ca="1">IF(X$121="",0,COUNTIFS(Tarefas!$A:$A,"&gt;="&amp;$B$116,Tarefas!$A:$A,"&lt;="&amp;$B$117,Tarefas!$D:$D,X$121,Tarefas!$J:$J,$AZ122))</f>
        <v>0</v>
      </c>
      <c r="Y122" s="3">
        <f ca="1">IF(Y$121="",0,COUNTIFS(Tarefas!$A:$A,"&gt;="&amp;$B$116,Tarefas!$A:$A,"&lt;="&amp;$B$117,Tarefas!$D:$D,Y$121,Tarefas!$J:$J,$AZ122))</f>
        <v>0</v>
      </c>
      <c r="Z122" s="3">
        <f ca="1">IF(Z$121="",0,COUNTIFS(Tarefas!$A:$A,"&gt;="&amp;$B$116,Tarefas!$A:$A,"&lt;="&amp;$B$117,Tarefas!$D:$D,Z$121,Tarefas!$J:$J,$AZ122))</f>
        <v>0</v>
      </c>
      <c r="AA122" s="3">
        <f ca="1">IF(AA$121="",0,COUNTIFS(Tarefas!$A:$A,"&gt;="&amp;$B$116,Tarefas!$A:$A,"&lt;="&amp;$B$117,Tarefas!$D:$D,AA$121,Tarefas!$J:$J,$AZ122))</f>
        <v>0</v>
      </c>
      <c r="AB122" s="3">
        <f ca="1">IF(AB$121="",0,COUNTIFS(Tarefas!$A:$A,"&gt;="&amp;$B$116,Tarefas!$A:$A,"&lt;="&amp;$B$117,Tarefas!$D:$D,AB$121,Tarefas!$J:$J,$AZ122))</f>
        <v>0</v>
      </c>
      <c r="AC122" s="3">
        <f ca="1">IF(AC$121="",0,COUNTIFS(Tarefas!$A:$A,"&gt;="&amp;$B$116,Tarefas!$A:$A,"&lt;="&amp;$B$117,Tarefas!$D:$D,AC$121,Tarefas!$J:$J,$AZ122))</f>
        <v>0</v>
      </c>
      <c r="AD122" s="3">
        <f ca="1">IF(AD$121="",0,COUNTIFS(Tarefas!$A:$A,"&gt;="&amp;$B$116,Tarefas!$A:$A,"&lt;="&amp;$B$117,Tarefas!$D:$D,AD$121,Tarefas!$J:$J,$AZ122))</f>
        <v>0</v>
      </c>
      <c r="AE122" s="3">
        <f ca="1">IF(AE$121="",0,COUNTIFS(Tarefas!$A:$A,"&gt;="&amp;$B$116,Tarefas!$A:$A,"&lt;="&amp;$B$117,Tarefas!$D:$D,AE$121,Tarefas!$J:$J,$AZ122))</f>
        <v>0</v>
      </c>
      <c r="AF122" s="3">
        <f ca="1">IF(AF$121="",0,COUNTIFS(Tarefas!$A:$A,"&gt;="&amp;$B$116,Tarefas!$A:$A,"&lt;="&amp;$B$117,Tarefas!$D:$D,AF$121,Tarefas!$J:$J,$AZ122))</f>
        <v>0</v>
      </c>
      <c r="AG122" s="3">
        <f ca="1">IF(AG$121="",0,COUNTIFS(Tarefas!$A:$A,"&gt;="&amp;$B$116,Tarefas!$A:$A,"&lt;="&amp;$B$117,Tarefas!$D:$D,AG$121,Tarefas!$J:$J,$AZ122))</f>
        <v>0</v>
      </c>
      <c r="AH122" s="3">
        <f ca="1">IF(AH$121="",0,COUNTIFS(Tarefas!$A:$A,"&gt;="&amp;$B$116,Tarefas!$A:$A,"&lt;="&amp;$B$117,Tarefas!$D:$D,AH$121,Tarefas!$J:$J,$AZ122))</f>
        <v>0</v>
      </c>
      <c r="AI122" s="3">
        <f ca="1">IF(AI$121="",0,COUNTIFS(Tarefas!$A:$A,"&gt;="&amp;$B$116,Tarefas!$A:$A,"&lt;="&amp;$B$117,Tarefas!$D:$D,AI$121,Tarefas!$J:$J,$AZ122))</f>
        <v>0</v>
      </c>
      <c r="AJ122" s="3">
        <f ca="1">IF(AJ$121="",0,COUNTIFS(Tarefas!$A:$A,"&gt;="&amp;$B$116,Tarefas!$A:$A,"&lt;="&amp;$B$117,Tarefas!$D:$D,AJ$121,Tarefas!$J:$J,$AZ122))</f>
        <v>0</v>
      </c>
      <c r="AK122" s="3">
        <f ca="1">IF(AK$121="",0,COUNTIFS(Tarefas!$A:$A,"&gt;="&amp;$B$116,Tarefas!$A:$A,"&lt;="&amp;$B$117,Tarefas!$D:$D,AK$121,Tarefas!$J:$J,$AZ122))</f>
        <v>0</v>
      </c>
      <c r="AL122" s="3">
        <f ca="1">IF(AL$121="",0,COUNTIFS(Tarefas!$A:$A,"&gt;="&amp;$B$116,Tarefas!$A:$A,"&lt;="&amp;$B$117,Tarefas!$D:$D,AL$121,Tarefas!$J:$J,$AZ122))</f>
        <v>0</v>
      </c>
      <c r="AM122" s="3">
        <f ca="1">IF(AM$121="",0,COUNTIFS(Tarefas!$A:$A,"&gt;="&amp;$B$116,Tarefas!$A:$A,"&lt;="&amp;$B$117,Tarefas!$D:$D,AM$121,Tarefas!$J:$J,$AZ122))</f>
        <v>0</v>
      </c>
      <c r="AN122" s="3">
        <f ca="1">IF(AN$121="",0,COUNTIFS(Tarefas!$A:$A,"&gt;="&amp;$B$116,Tarefas!$A:$A,"&lt;="&amp;$B$117,Tarefas!$D:$D,AN$121,Tarefas!$J:$J,$AZ122))</f>
        <v>0</v>
      </c>
      <c r="AO122" s="3">
        <f ca="1">IF(AO$121="",0,COUNTIFS(Tarefas!$A:$A,"&gt;="&amp;$B$116,Tarefas!$A:$A,"&lt;="&amp;$B$117,Tarefas!$D:$D,AO$121,Tarefas!$J:$J,$AZ122))</f>
        <v>0</v>
      </c>
      <c r="AP122" s="3">
        <f ca="1">IF(AP$121="",0,COUNTIFS(Tarefas!$A:$A,"&gt;="&amp;$B$116,Tarefas!$A:$A,"&lt;="&amp;$B$117,Tarefas!$D:$D,AP$121,Tarefas!$J:$J,$AZ122))</f>
        <v>0</v>
      </c>
      <c r="AQ122" s="3">
        <f ca="1">IF(AQ$121="",0,COUNTIFS(Tarefas!$A:$A,"&gt;="&amp;$B$116,Tarefas!$A:$A,"&lt;="&amp;$B$117,Tarefas!$D:$D,AQ$121,Tarefas!$J:$J,$AZ122))</f>
        <v>0</v>
      </c>
      <c r="AR122" s="3">
        <f ca="1">IF(AR$121="",0,COUNTIFS(Tarefas!$A:$A,"&gt;="&amp;$B$116,Tarefas!$A:$A,"&lt;="&amp;$B$117,Tarefas!$D:$D,AR$121,Tarefas!$J:$J,$AZ122))</f>
        <v>0</v>
      </c>
      <c r="AS122" s="3">
        <f ca="1">IF(AS$121="",0,COUNTIFS(Tarefas!$A:$A,"&gt;="&amp;$B$116,Tarefas!$A:$A,"&lt;="&amp;$B$117,Tarefas!$D:$D,AS$121,Tarefas!$J:$J,$AZ122))</f>
        <v>0</v>
      </c>
      <c r="AT122" s="3">
        <f ca="1">IF(AT$121="",0,COUNTIFS(Tarefas!$A:$A,"&gt;="&amp;$B$116,Tarefas!$A:$A,"&lt;="&amp;$B$117,Tarefas!$D:$D,AT$121,Tarefas!$J:$J,$AZ122))</f>
        <v>0</v>
      </c>
      <c r="AU122" s="3">
        <f ca="1">IF(AU$121="",0,COUNTIFS(Tarefas!$A:$A,"&gt;="&amp;$B$116,Tarefas!$A:$A,"&lt;="&amp;$B$117,Tarefas!$D:$D,AU$121,Tarefas!$J:$J,$AZ122))</f>
        <v>0</v>
      </c>
      <c r="AV122" s="3">
        <f ca="1">IF(AV$121="",0,COUNTIFS(Tarefas!$A:$A,"&gt;="&amp;$B$116,Tarefas!$A:$A,"&lt;="&amp;$B$117,Tarefas!$D:$D,AV$121,Tarefas!$J:$J,$AZ122))</f>
        <v>0</v>
      </c>
      <c r="AW122" s="3">
        <f ca="1">IF(AW$121="",0,COUNTIFS(Tarefas!$A:$A,"&gt;="&amp;$B$116,Tarefas!$A:$A,"&lt;="&amp;$B$117,Tarefas!$D:$D,AW$121,Tarefas!$J:$J,$AZ122))</f>
        <v>0</v>
      </c>
      <c r="AX122" s="3">
        <f ca="1">IF(AX$121="",0,COUNTIFS(Tarefas!$A:$A,"&gt;="&amp;$B$116,Tarefas!$A:$A,"&lt;="&amp;$B$117,Tarefas!$D:$D,AX$121,Tarefas!$J:$J,$AZ122))</f>
        <v>0</v>
      </c>
      <c r="AY122" s="3">
        <f ca="1">IF(AY$121="",0,COUNTIFS(Tarefas!$A:$A,"&gt;="&amp;$B$116,Tarefas!$A:$A,"&lt;="&amp;$B$117,Tarefas!$D:$D,AY$121,Tarefas!$J:$J,$AZ122))</f>
        <v>0</v>
      </c>
      <c r="AZ122" s="2" t="s">
        <v>73</v>
      </c>
    </row>
    <row r="123" spans="1:52" x14ac:dyDescent="0.25">
      <c r="A123" s="2" t="s">
        <v>29</v>
      </c>
      <c r="B123" s="3">
        <f ca="1">IF(B$121="",0,COUNTIFS(Tarefas!$A:$A,"&gt;="&amp;$B$116,Tarefas!$A:$A,"&lt;="&amp;$B$117,Tarefas!$D:$D,B$121,Tarefas!$J:$J,$AZ123))</f>
        <v>0</v>
      </c>
      <c r="C123" s="3">
        <f ca="1">IF(C$121="",0,COUNTIFS(Tarefas!$A:$A,"&gt;="&amp;$B$116,Tarefas!$A:$A,"&lt;="&amp;$B$117,Tarefas!$D:$D,C$121,Tarefas!$J:$J,$AZ123))</f>
        <v>0</v>
      </c>
      <c r="D123" s="3">
        <f ca="1">IF(D$121="",0,COUNTIFS(Tarefas!$A:$A,"&gt;="&amp;$B$116,Tarefas!$A:$A,"&lt;="&amp;$B$117,Tarefas!$D:$D,D$121,Tarefas!$J:$J,$AZ123))</f>
        <v>0</v>
      </c>
      <c r="E123" s="3">
        <f ca="1">IF(E$121="",0,COUNTIFS(Tarefas!$A:$A,"&gt;="&amp;$B$116,Tarefas!$A:$A,"&lt;="&amp;$B$117,Tarefas!$D:$D,E$121,Tarefas!$J:$J,$AZ123))</f>
        <v>0</v>
      </c>
      <c r="F123" s="3">
        <f ca="1">IF(F$121="",0,COUNTIFS(Tarefas!$A:$A,"&gt;="&amp;$B$116,Tarefas!$A:$A,"&lt;="&amp;$B$117,Tarefas!$D:$D,F$121,Tarefas!$J:$J,$AZ123))</f>
        <v>0</v>
      </c>
      <c r="G123" s="3">
        <f ca="1">IF(G$121="",0,COUNTIFS(Tarefas!$A:$A,"&gt;="&amp;$B$116,Tarefas!$A:$A,"&lt;="&amp;$B$117,Tarefas!$D:$D,G$121,Tarefas!$J:$J,$AZ123))</f>
        <v>0</v>
      </c>
      <c r="H123" s="3">
        <f ca="1">IF(H$121="",0,COUNTIFS(Tarefas!$A:$A,"&gt;="&amp;$B$116,Tarefas!$A:$A,"&lt;="&amp;$B$117,Tarefas!$D:$D,H$121,Tarefas!$J:$J,$AZ123))</f>
        <v>0</v>
      </c>
      <c r="I123" s="3">
        <f ca="1">IF(I$121="",0,COUNTIFS(Tarefas!$A:$A,"&gt;="&amp;$B$116,Tarefas!$A:$A,"&lt;="&amp;$B$117,Tarefas!$D:$D,I$121,Tarefas!$J:$J,$AZ123))</f>
        <v>0</v>
      </c>
      <c r="J123" s="3">
        <f ca="1">IF(J$121="",0,COUNTIFS(Tarefas!$A:$A,"&gt;="&amp;$B$116,Tarefas!$A:$A,"&lt;="&amp;$B$117,Tarefas!$D:$D,J$121,Tarefas!$J:$J,$AZ123))</f>
        <v>0</v>
      </c>
      <c r="K123" s="3">
        <f ca="1">IF(K$121="",0,COUNTIFS(Tarefas!$A:$A,"&gt;="&amp;$B$116,Tarefas!$A:$A,"&lt;="&amp;$B$117,Tarefas!$D:$D,K$121,Tarefas!$J:$J,$AZ123))</f>
        <v>0</v>
      </c>
      <c r="L123" s="3">
        <f ca="1">IF(L$121="",0,COUNTIFS(Tarefas!$A:$A,"&gt;="&amp;$B$116,Tarefas!$A:$A,"&lt;="&amp;$B$117,Tarefas!$D:$D,L$121,Tarefas!$J:$J,$AZ123))</f>
        <v>0</v>
      </c>
      <c r="M123" s="3">
        <f ca="1">IF(M$121="",0,COUNTIFS(Tarefas!$A:$A,"&gt;="&amp;$B$116,Tarefas!$A:$A,"&lt;="&amp;$B$117,Tarefas!$D:$D,M$121,Tarefas!$J:$J,$AZ123))</f>
        <v>0</v>
      </c>
      <c r="N123" s="3">
        <f ca="1">IF(N$121="",0,COUNTIFS(Tarefas!$A:$A,"&gt;="&amp;$B$116,Tarefas!$A:$A,"&lt;="&amp;$B$117,Tarefas!$D:$D,N$121,Tarefas!$J:$J,$AZ123))</f>
        <v>0</v>
      </c>
      <c r="O123" s="3">
        <f ca="1">IF(O$121="",0,COUNTIFS(Tarefas!$A:$A,"&gt;="&amp;$B$116,Tarefas!$A:$A,"&lt;="&amp;$B$117,Tarefas!$D:$D,O$121,Tarefas!$J:$J,$AZ123))</f>
        <v>0</v>
      </c>
      <c r="P123" s="3">
        <f ca="1">IF(P$121="",0,COUNTIFS(Tarefas!$A:$A,"&gt;="&amp;$B$116,Tarefas!$A:$A,"&lt;="&amp;$B$117,Tarefas!$D:$D,P$121,Tarefas!$J:$J,$AZ123))</f>
        <v>0</v>
      </c>
      <c r="Q123" s="3">
        <f ca="1">IF(Q$121="",0,COUNTIFS(Tarefas!$A:$A,"&gt;="&amp;$B$116,Tarefas!$A:$A,"&lt;="&amp;$B$117,Tarefas!$D:$D,Q$121,Tarefas!$J:$J,$AZ123))</f>
        <v>0</v>
      </c>
      <c r="R123" s="3">
        <f ca="1">IF(R$121="",0,COUNTIFS(Tarefas!$A:$A,"&gt;="&amp;$B$116,Tarefas!$A:$A,"&lt;="&amp;$B$117,Tarefas!$D:$D,R$121,Tarefas!$J:$J,$AZ123))</f>
        <v>0</v>
      </c>
      <c r="S123" s="3">
        <f ca="1">IF(S$121="",0,COUNTIFS(Tarefas!$A:$A,"&gt;="&amp;$B$116,Tarefas!$A:$A,"&lt;="&amp;$B$117,Tarefas!$D:$D,S$121,Tarefas!$J:$J,$AZ123))</f>
        <v>0</v>
      </c>
      <c r="T123" s="3">
        <f ca="1">IF(T$121="",0,COUNTIFS(Tarefas!$A:$A,"&gt;="&amp;$B$116,Tarefas!$A:$A,"&lt;="&amp;$B$117,Tarefas!$D:$D,T$121,Tarefas!$J:$J,$AZ123))</f>
        <v>0</v>
      </c>
      <c r="U123" s="3">
        <f ca="1">IF(U$121="",0,COUNTIFS(Tarefas!$A:$A,"&gt;="&amp;$B$116,Tarefas!$A:$A,"&lt;="&amp;$B$117,Tarefas!$D:$D,U$121,Tarefas!$J:$J,$AZ123))</f>
        <v>0</v>
      </c>
      <c r="V123" s="3">
        <f ca="1">IF(V$121="",0,COUNTIFS(Tarefas!$A:$A,"&gt;="&amp;$B$116,Tarefas!$A:$A,"&lt;="&amp;$B$117,Tarefas!$D:$D,V$121,Tarefas!$J:$J,$AZ123))</f>
        <v>0</v>
      </c>
      <c r="W123" s="3">
        <f ca="1">IF(W$121="",0,COUNTIFS(Tarefas!$A:$A,"&gt;="&amp;$B$116,Tarefas!$A:$A,"&lt;="&amp;$B$117,Tarefas!$D:$D,W$121,Tarefas!$J:$J,$AZ123))</f>
        <v>0</v>
      </c>
      <c r="X123" s="3">
        <f ca="1">IF(X$121="",0,COUNTIFS(Tarefas!$A:$A,"&gt;="&amp;$B$116,Tarefas!$A:$A,"&lt;="&amp;$B$117,Tarefas!$D:$D,X$121,Tarefas!$J:$J,$AZ123))</f>
        <v>0</v>
      </c>
      <c r="Y123" s="3">
        <f ca="1">IF(Y$121="",0,COUNTIFS(Tarefas!$A:$A,"&gt;="&amp;$B$116,Tarefas!$A:$A,"&lt;="&amp;$B$117,Tarefas!$D:$D,Y$121,Tarefas!$J:$J,$AZ123))</f>
        <v>0</v>
      </c>
      <c r="Z123" s="3">
        <f ca="1">IF(Z$121="",0,COUNTIFS(Tarefas!$A:$A,"&gt;="&amp;$B$116,Tarefas!$A:$A,"&lt;="&amp;$B$117,Tarefas!$D:$D,Z$121,Tarefas!$J:$J,$AZ123))</f>
        <v>0</v>
      </c>
      <c r="AA123" s="3">
        <f ca="1">IF(AA$121="",0,COUNTIFS(Tarefas!$A:$A,"&gt;="&amp;$B$116,Tarefas!$A:$A,"&lt;="&amp;$B$117,Tarefas!$D:$D,AA$121,Tarefas!$J:$J,$AZ123))</f>
        <v>0</v>
      </c>
      <c r="AB123" s="3">
        <f ca="1">IF(AB$121="",0,COUNTIFS(Tarefas!$A:$A,"&gt;="&amp;$B$116,Tarefas!$A:$A,"&lt;="&amp;$B$117,Tarefas!$D:$D,AB$121,Tarefas!$J:$J,$AZ123))</f>
        <v>0</v>
      </c>
      <c r="AC123" s="3">
        <f ca="1">IF(AC$121="",0,COUNTIFS(Tarefas!$A:$A,"&gt;="&amp;$B$116,Tarefas!$A:$A,"&lt;="&amp;$B$117,Tarefas!$D:$D,AC$121,Tarefas!$J:$J,$AZ123))</f>
        <v>0</v>
      </c>
      <c r="AD123" s="3">
        <f ca="1">IF(AD$121="",0,COUNTIFS(Tarefas!$A:$A,"&gt;="&amp;$B$116,Tarefas!$A:$A,"&lt;="&amp;$B$117,Tarefas!$D:$D,AD$121,Tarefas!$J:$J,$AZ123))</f>
        <v>0</v>
      </c>
      <c r="AE123" s="3">
        <f ca="1">IF(AE$121="",0,COUNTIFS(Tarefas!$A:$A,"&gt;="&amp;$B$116,Tarefas!$A:$A,"&lt;="&amp;$B$117,Tarefas!$D:$D,AE$121,Tarefas!$J:$J,$AZ123))</f>
        <v>0</v>
      </c>
      <c r="AF123" s="3">
        <f ca="1">IF(AF$121="",0,COUNTIFS(Tarefas!$A:$A,"&gt;="&amp;$B$116,Tarefas!$A:$A,"&lt;="&amp;$B$117,Tarefas!$D:$D,AF$121,Tarefas!$J:$J,$AZ123))</f>
        <v>0</v>
      </c>
      <c r="AG123" s="3">
        <f ca="1">IF(AG$121="",0,COUNTIFS(Tarefas!$A:$A,"&gt;="&amp;$B$116,Tarefas!$A:$A,"&lt;="&amp;$B$117,Tarefas!$D:$D,AG$121,Tarefas!$J:$J,$AZ123))</f>
        <v>0</v>
      </c>
      <c r="AH123" s="3">
        <f ca="1">IF(AH$121="",0,COUNTIFS(Tarefas!$A:$A,"&gt;="&amp;$B$116,Tarefas!$A:$A,"&lt;="&amp;$B$117,Tarefas!$D:$D,AH$121,Tarefas!$J:$J,$AZ123))</f>
        <v>0</v>
      </c>
      <c r="AI123" s="3">
        <f ca="1">IF(AI$121="",0,COUNTIFS(Tarefas!$A:$A,"&gt;="&amp;$B$116,Tarefas!$A:$A,"&lt;="&amp;$B$117,Tarefas!$D:$D,AI$121,Tarefas!$J:$J,$AZ123))</f>
        <v>0</v>
      </c>
      <c r="AJ123" s="3">
        <f ca="1">IF(AJ$121="",0,COUNTIFS(Tarefas!$A:$A,"&gt;="&amp;$B$116,Tarefas!$A:$A,"&lt;="&amp;$B$117,Tarefas!$D:$D,AJ$121,Tarefas!$J:$J,$AZ123))</f>
        <v>0</v>
      </c>
      <c r="AK123" s="3">
        <f ca="1">IF(AK$121="",0,COUNTIFS(Tarefas!$A:$A,"&gt;="&amp;$B$116,Tarefas!$A:$A,"&lt;="&amp;$B$117,Tarefas!$D:$D,AK$121,Tarefas!$J:$J,$AZ123))</f>
        <v>0</v>
      </c>
      <c r="AL123" s="3">
        <f ca="1">IF(AL$121="",0,COUNTIFS(Tarefas!$A:$A,"&gt;="&amp;$B$116,Tarefas!$A:$A,"&lt;="&amp;$B$117,Tarefas!$D:$D,AL$121,Tarefas!$J:$J,$AZ123))</f>
        <v>0</v>
      </c>
      <c r="AM123" s="3">
        <f ca="1">IF(AM$121="",0,COUNTIFS(Tarefas!$A:$A,"&gt;="&amp;$B$116,Tarefas!$A:$A,"&lt;="&amp;$B$117,Tarefas!$D:$D,AM$121,Tarefas!$J:$J,$AZ123))</f>
        <v>0</v>
      </c>
      <c r="AN123" s="3">
        <f ca="1">IF(AN$121="",0,COUNTIFS(Tarefas!$A:$A,"&gt;="&amp;$B$116,Tarefas!$A:$A,"&lt;="&amp;$B$117,Tarefas!$D:$D,AN$121,Tarefas!$J:$J,$AZ123))</f>
        <v>0</v>
      </c>
      <c r="AO123" s="3">
        <f ca="1">IF(AO$121="",0,COUNTIFS(Tarefas!$A:$A,"&gt;="&amp;$B$116,Tarefas!$A:$A,"&lt;="&amp;$B$117,Tarefas!$D:$D,AO$121,Tarefas!$J:$J,$AZ123))</f>
        <v>0</v>
      </c>
      <c r="AP123" s="3">
        <f ca="1">IF(AP$121="",0,COUNTIFS(Tarefas!$A:$A,"&gt;="&amp;$B$116,Tarefas!$A:$A,"&lt;="&amp;$B$117,Tarefas!$D:$D,AP$121,Tarefas!$J:$J,$AZ123))</f>
        <v>0</v>
      </c>
      <c r="AQ123" s="3">
        <f ca="1">IF(AQ$121="",0,COUNTIFS(Tarefas!$A:$A,"&gt;="&amp;$B$116,Tarefas!$A:$A,"&lt;="&amp;$B$117,Tarefas!$D:$D,AQ$121,Tarefas!$J:$J,$AZ123))</f>
        <v>0</v>
      </c>
      <c r="AR123" s="3">
        <f ca="1">IF(AR$121="",0,COUNTIFS(Tarefas!$A:$A,"&gt;="&amp;$B$116,Tarefas!$A:$A,"&lt;="&amp;$B$117,Tarefas!$D:$D,AR$121,Tarefas!$J:$J,$AZ123))</f>
        <v>0</v>
      </c>
      <c r="AS123" s="3">
        <f ca="1">IF(AS$121="",0,COUNTIFS(Tarefas!$A:$A,"&gt;="&amp;$B$116,Tarefas!$A:$A,"&lt;="&amp;$B$117,Tarefas!$D:$D,AS$121,Tarefas!$J:$J,$AZ123))</f>
        <v>0</v>
      </c>
      <c r="AT123" s="3">
        <f ca="1">IF(AT$121="",0,COUNTIFS(Tarefas!$A:$A,"&gt;="&amp;$B$116,Tarefas!$A:$A,"&lt;="&amp;$B$117,Tarefas!$D:$D,AT$121,Tarefas!$J:$J,$AZ123))</f>
        <v>0</v>
      </c>
      <c r="AU123" s="3">
        <f ca="1">IF(AU$121="",0,COUNTIFS(Tarefas!$A:$A,"&gt;="&amp;$B$116,Tarefas!$A:$A,"&lt;="&amp;$B$117,Tarefas!$D:$D,AU$121,Tarefas!$J:$J,$AZ123))</f>
        <v>0</v>
      </c>
      <c r="AV123" s="3">
        <f ca="1">IF(AV$121="",0,COUNTIFS(Tarefas!$A:$A,"&gt;="&amp;$B$116,Tarefas!$A:$A,"&lt;="&amp;$B$117,Tarefas!$D:$D,AV$121,Tarefas!$J:$J,$AZ123))</f>
        <v>0</v>
      </c>
      <c r="AW123" s="3">
        <f ca="1">IF(AW$121="",0,COUNTIFS(Tarefas!$A:$A,"&gt;="&amp;$B$116,Tarefas!$A:$A,"&lt;="&amp;$B$117,Tarefas!$D:$D,AW$121,Tarefas!$J:$J,$AZ123))</f>
        <v>0</v>
      </c>
      <c r="AX123" s="3">
        <f ca="1">IF(AX$121="",0,COUNTIFS(Tarefas!$A:$A,"&gt;="&amp;$B$116,Tarefas!$A:$A,"&lt;="&amp;$B$117,Tarefas!$D:$D,AX$121,Tarefas!$J:$J,$AZ123))</f>
        <v>0</v>
      </c>
      <c r="AY123" s="3">
        <f ca="1">IF(AY$121="",0,COUNTIFS(Tarefas!$A:$A,"&gt;="&amp;$B$116,Tarefas!$A:$A,"&lt;="&amp;$B$117,Tarefas!$D:$D,AY$121,Tarefas!$J:$J,$AZ123))</f>
        <v>0</v>
      </c>
      <c r="AZ123" s="2" t="s">
        <v>41</v>
      </c>
    </row>
    <row r="124" spans="1:52" x14ac:dyDescent="0.25">
      <c r="A124" s="2" t="s">
        <v>91</v>
      </c>
      <c r="B124" s="38">
        <f ca="1">IF(B121="","",IF(B122=0,0,IF(COUNTIFS($B$122:$AY$122,B122)&gt;1,B122+(COLUMN()/1000),B122)))</f>
        <v>0</v>
      </c>
      <c r="C124" s="38" t="str">
        <f t="shared" ref="C124:AY124" ca="1" si="3">IF(C121="","",IF(C122=0,0,IF(COUNTIFS($B$122:$AY$122,C122)&gt;1,C122+(COLUMN()/1000),C122)))</f>
        <v/>
      </c>
      <c r="D124" s="38" t="str">
        <f t="shared" ca="1" si="3"/>
        <v/>
      </c>
      <c r="E124" s="38" t="str">
        <f t="shared" ca="1" si="3"/>
        <v/>
      </c>
      <c r="F124" s="38" t="str">
        <f t="shared" ca="1" si="3"/>
        <v/>
      </c>
      <c r="G124" s="38" t="str">
        <f t="shared" ca="1" si="3"/>
        <v/>
      </c>
      <c r="H124" s="38" t="str">
        <f t="shared" ca="1" si="3"/>
        <v/>
      </c>
      <c r="I124" s="38" t="str">
        <f t="shared" ca="1" si="3"/>
        <v/>
      </c>
      <c r="J124" s="38" t="str">
        <f t="shared" ca="1" si="3"/>
        <v/>
      </c>
      <c r="K124" s="38" t="str">
        <f t="shared" ca="1" si="3"/>
        <v/>
      </c>
      <c r="L124" s="38" t="str">
        <f t="shared" ca="1" si="3"/>
        <v/>
      </c>
      <c r="M124" s="38" t="str">
        <f t="shared" ca="1" si="3"/>
        <v/>
      </c>
      <c r="N124" s="38" t="str">
        <f t="shared" ca="1" si="3"/>
        <v/>
      </c>
      <c r="O124" s="38" t="str">
        <f t="shared" ca="1" si="3"/>
        <v/>
      </c>
      <c r="P124" s="38" t="str">
        <f t="shared" ca="1" si="3"/>
        <v/>
      </c>
      <c r="Q124" s="38" t="str">
        <f t="shared" ca="1" si="3"/>
        <v/>
      </c>
      <c r="R124" s="38" t="str">
        <f t="shared" ca="1" si="3"/>
        <v/>
      </c>
      <c r="S124" s="38" t="str">
        <f t="shared" ca="1" si="3"/>
        <v/>
      </c>
      <c r="T124" s="38" t="str">
        <f t="shared" ca="1" si="3"/>
        <v/>
      </c>
      <c r="U124" s="38" t="str">
        <f t="shared" ca="1" si="3"/>
        <v/>
      </c>
      <c r="V124" s="38" t="str">
        <f t="shared" ca="1" si="3"/>
        <v/>
      </c>
      <c r="W124" s="38" t="str">
        <f t="shared" ca="1" si="3"/>
        <v/>
      </c>
      <c r="X124" s="38" t="str">
        <f t="shared" ca="1" si="3"/>
        <v/>
      </c>
      <c r="Y124" s="38" t="str">
        <f t="shared" ca="1" si="3"/>
        <v/>
      </c>
      <c r="Z124" s="38" t="str">
        <f t="shared" ca="1" si="3"/>
        <v/>
      </c>
      <c r="AA124" s="38" t="str">
        <f t="shared" ca="1" si="3"/>
        <v/>
      </c>
      <c r="AB124" s="38" t="str">
        <f t="shared" ca="1" si="3"/>
        <v/>
      </c>
      <c r="AC124" s="38" t="str">
        <f t="shared" ca="1" si="3"/>
        <v/>
      </c>
      <c r="AD124" s="38" t="str">
        <f t="shared" ca="1" si="3"/>
        <v/>
      </c>
      <c r="AE124" s="38" t="str">
        <f t="shared" ca="1" si="3"/>
        <v/>
      </c>
      <c r="AF124" s="38" t="str">
        <f t="shared" ca="1" si="3"/>
        <v/>
      </c>
      <c r="AG124" s="38" t="str">
        <f t="shared" ca="1" si="3"/>
        <v/>
      </c>
      <c r="AH124" s="38" t="str">
        <f t="shared" ca="1" si="3"/>
        <v/>
      </c>
      <c r="AI124" s="38" t="str">
        <f t="shared" ca="1" si="3"/>
        <v/>
      </c>
      <c r="AJ124" s="38" t="str">
        <f t="shared" ca="1" si="3"/>
        <v/>
      </c>
      <c r="AK124" s="38" t="str">
        <f t="shared" ca="1" si="3"/>
        <v/>
      </c>
      <c r="AL124" s="38" t="str">
        <f t="shared" ca="1" si="3"/>
        <v/>
      </c>
      <c r="AM124" s="38" t="str">
        <f t="shared" ca="1" si="3"/>
        <v/>
      </c>
      <c r="AN124" s="38" t="str">
        <f t="shared" ca="1" si="3"/>
        <v/>
      </c>
      <c r="AO124" s="38" t="str">
        <f t="shared" ca="1" si="3"/>
        <v/>
      </c>
      <c r="AP124" s="38" t="str">
        <f t="shared" ca="1" si="3"/>
        <v/>
      </c>
      <c r="AQ124" s="38" t="str">
        <f t="shared" ca="1" si="3"/>
        <v/>
      </c>
      <c r="AR124" s="38" t="str">
        <f t="shared" ca="1" si="3"/>
        <v/>
      </c>
      <c r="AS124" s="38" t="str">
        <f t="shared" ca="1" si="3"/>
        <v/>
      </c>
      <c r="AT124" s="38" t="str">
        <f t="shared" ca="1" si="3"/>
        <v/>
      </c>
      <c r="AU124" s="38" t="str">
        <f t="shared" ca="1" si="3"/>
        <v/>
      </c>
      <c r="AV124" s="38" t="str">
        <f t="shared" ca="1" si="3"/>
        <v/>
      </c>
      <c r="AW124" s="38" t="str">
        <f t="shared" ca="1" si="3"/>
        <v/>
      </c>
      <c r="AX124" s="38" t="str">
        <f t="shared" ca="1" si="3"/>
        <v/>
      </c>
      <c r="AY124" s="38" t="str">
        <f t="shared" ca="1" si="3"/>
        <v/>
      </c>
    </row>
    <row r="125" spans="1:52" x14ac:dyDescent="0.25">
      <c r="A125" s="2" t="s">
        <v>92</v>
      </c>
      <c r="B125" s="38">
        <f ca="1">IF(B121="","",IF(B123=0,0,IF(COUNTIFS($B$123:$AY$123,B123)&gt;1,B123+(COLUMN()/1000),B123)))</f>
        <v>0</v>
      </c>
      <c r="C125" s="38" t="str">
        <f t="shared" ref="C125:AY125" ca="1" si="4">IF(C121="","",IF(C123=0,0,IF(COUNTIFS($B$123:$AY$123,C123)&gt;1,C123+(COLUMN()/1000),C123)))</f>
        <v/>
      </c>
      <c r="D125" s="38" t="str">
        <f t="shared" ca="1" si="4"/>
        <v/>
      </c>
      <c r="E125" s="38" t="str">
        <f t="shared" ca="1" si="4"/>
        <v/>
      </c>
      <c r="F125" s="38" t="str">
        <f t="shared" ca="1" si="4"/>
        <v/>
      </c>
      <c r="G125" s="38" t="str">
        <f t="shared" ca="1" si="4"/>
        <v/>
      </c>
      <c r="H125" s="38" t="str">
        <f t="shared" ca="1" si="4"/>
        <v/>
      </c>
      <c r="I125" s="38" t="str">
        <f t="shared" ca="1" si="4"/>
        <v/>
      </c>
      <c r="J125" s="38" t="str">
        <f t="shared" ca="1" si="4"/>
        <v/>
      </c>
      <c r="K125" s="38" t="str">
        <f t="shared" ca="1" si="4"/>
        <v/>
      </c>
      <c r="L125" s="38" t="str">
        <f t="shared" ca="1" si="4"/>
        <v/>
      </c>
      <c r="M125" s="38" t="str">
        <f t="shared" ca="1" si="4"/>
        <v/>
      </c>
      <c r="N125" s="38" t="str">
        <f t="shared" ca="1" si="4"/>
        <v/>
      </c>
      <c r="O125" s="38" t="str">
        <f t="shared" ca="1" si="4"/>
        <v/>
      </c>
      <c r="P125" s="38" t="str">
        <f t="shared" ca="1" si="4"/>
        <v/>
      </c>
      <c r="Q125" s="38" t="str">
        <f t="shared" ca="1" si="4"/>
        <v/>
      </c>
      <c r="R125" s="38" t="str">
        <f t="shared" ca="1" si="4"/>
        <v/>
      </c>
      <c r="S125" s="38" t="str">
        <f t="shared" ca="1" si="4"/>
        <v/>
      </c>
      <c r="T125" s="38" t="str">
        <f t="shared" ca="1" si="4"/>
        <v/>
      </c>
      <c r="U125" s="38" t="str">
        <f t="shared" ca="1" si="4"/>
        <v/>
      </c>
      <c r="V125" s="38" t="str">
        <f t="shared" ca="1" si="4"/>
        <v/>
      </c>
      <c r="W125" s="38" t="str">
        <f t="shared" ca="1" si="4"/>
        <v/>
      </c>
      <c r="X125" s="38" t="str">
        <f t="shared" ca="1" si="4"/>
        <v/>
      </c>
      <c r="Y125" s="38" t="str">
        <f t="shared" ca="1" si="4"/>
        <v/>
      </c>
      <c r="Z125" s="38" t="str">
        <f t="shared" ca="1" si="4"/>
        <v/>
      </c>
      <c r="AA125" s="38" t="str">
        <f t="shared" ca="1" si="4"/>
        <v/>
      </c>
      <c r="AB125" s="38" t="str">
        <f t="shared" ca="1" si="4"/>
        <v/>
      </c>
      <c r="AC125" s="38" t="str">
        <f t="shared" ca="1" si="4"/>
        <v/>
      </c>
      <c r="AD125" s="38" t="str">
        <f t="shared" ca="1" si="4"/>
        <v/>
      </c>
      <c r="AE125" s="38" t="str">
        <f t="shared" ca="1" si="4"/>
        <v/>
      </c>
      <c r="AF125" s="38" t="str">
        <f t="shared" ca="1" si="4"/>
        <v/>
      </c>
      <c r="AG125" s="38" t="str">
        <f t="shared" ca="1" si="4"/>
        <v/>
      </c>
      <c r="AH125" s="38" t="str">
        <f t="shared" ca="1" si="4"/>
        <v/>
      </c>
      <c r="AI125" s="38" t="str">
        <f t="shared" ca="1" si="4"/>
        <v/>
      </c>
      <c r="AJ125" s="38" t="str">
        <f t="shared" ca="1" si="4"/>
        <v/>
      </c>
      <c r="AK125" s="38" t="str">
        <f t="shared" ca="1" si="4"/>
        <v/>
      </c>
      <c r="AL125" s="38" t="str">
        <f t="shared" ca="1" si="4"/>
        <v/>
      </c>
      <c r="AM125" s="38" t="str">
        <f t="shared" ca="1" si="4"/>
        <v/>
      </c>
      <c r="AN125" s="38" t="str">
        <f t="shared" ca="1" si="4"/>
        <v/>
      </c>
      <c r="AO125" s="38" t="str">
        <f t="shared" ca="1" si="4"/>
        <v/>
      </c>
      <c r="AP125" s="38" t="str">
        <f t="shared" ca="1" si="4"/>
        <v/>
      </c>
      <c r="AQ125" s="38" t="str">
        <f t="shared" ca="1" si="4"/>
        <v/>
      </c>
      <c r="AR125" s="38" t="str">
        <f t="shared" ca="1" si="4"/>
        <v/>
      </c>
      <c r="AS125" s="38" t="str">
        <f t="shared" ca="1" si="4"/>
        <v/>
      </c>
      <c r="AT125" s="38" t="str">
        <f t="shared" ca="1" si="4"/>
        <v/>
      </c>
      <c r="AU125" s="38" t="str">
        <f t="shared" ca="1" si="4"/>
        <v/>
      </c>
      <c r="AV125" s="38" t="str">
        <f t="shared" ca="1" si="4"/>
        <v/>
      </c>
      <c r="AW125" s="38" t="str">
        <f t="shared" ca="1" si="4"/>
        <v/>
      </c>
      <c r="AX125" s="38" t="str">
        <f t="shared" ca="1" si="4"/>
        <v/>
      </c>
      <c r="AY125" s="38" t="str">
        <f t="shared" ca="1" si="4"/>
        <v/>
      </c>
    </row>
    <row r="127" spans="1:52" x14ac:dyDescent="0.25">
      <c r="A127" s="2" t="s">
        <v>87</v>
      </c>
      <c r="B127" s="2">
        <f>'Dashboard 3 - Setor'!B53</f>
        <v>0</v>
      </c>
    </row>
    <row r="129" spans="1:12" x14ac:dyDescent="0.25">
      <c r="A129" s="2" t="s">
        <v>30</v>
      </c>
      <c r="B129" s="2">
        <f>COUNTIFS(Tarefas!$A:$A,"&gt;="&amp;$B$82,Tarefas!$A:$A,"&lt;="&amp;$B$83,Tarefas!$C:$C,B$93,Tarefas!$J:$J,$C129)</f>
        <v>0</v>
      </c>
      <c r="C129" s="2" t="s">
        <v>73</v>
      </c>
      <c r="D129" s="5" t="str">
        <f>IFERROR(B129/(B129+B130),"-")</f>
        <v>-</v>
      </c>
      <c r="G129" s="15"/>
      <c r="H129" s="3" t="s">
        <v>73</v>
      </c>
    </row>
    <row r="130" spans="1:12" x14ac:dyDescent="0.25">
      <c r="A130" s="2" t="s">
        <v>29</v>
      </c>
      <c r="B130" s="2">
        <f>COUNTIFS(Tarefas!$A:$A,"&gt;="&amp;$B$82,Tarefas!$A:$A,"&lt;="&amp;$B$83,Tarefas!$C:$C,B$93,Tarefas!$J:$J,$C130)</f>
        <v>0</v>
      </c>
      <c r="C130" s="2" t="s">
        <v>41</v>
      </c>
      <c r="D130" s="5" t="str">
        <f>IFERROR(B130/(B130+B129),"-")</f>
        <v>-</v>
      </c>
      <c r="G130" s="15" t="s">
        <v>47</v>
      </c>
      <c r="H130" s="3">
        <f>COUNTIFS(Tarefas!$A:$A,"&gt;="&amp;$B$82,Tarefas!$A:$A,"&lt;="&amp;$B$83,Tarefas!$C:$C,$B$93,Tarefas!$J:$J,$H$95,Tarefas!$E:$E,G130)</f>
        <v>0</v>
      </c>
    </row>
    <row r="131" spans="1:12" x14ac:dyDescent="0.25">
      <c r="G131" s="15" t="s">
        <v>48</v>
      </c>
      <c r="H131" s="3">
        <f>COUNTIFS(Tarefas!$A:$A,"&gt;="&amp;$B$82,Tarefas!$A:$A,"&lt;="&amp;$B$83,Tarefas!$C:$C,$B$93,Tarefas!$J:$J,$H$95,Tarefas!$E:$E,G131)</f>
        <v>0</v>
      </c>
      <c r="J131" s="3" t="s">
        <v>73</v>
      </c>
      <c r="K131" s="3" t="s">
        <v>73</v>
      </c>
      <c r="L131" s="3" t="s">
        <v>73</v>
      </c>
    </row>
    <row r="132" spans="1:12" x14ac:dyDescent="0.25">
      <c r="G132" s="15" t="s">
        <v>49</v>
      </c>
      <c r="H132" s="3">
        <f>COUNTIFS(Tarefas!$A:$A,"&gt;="&amp;$B$82,Tarefas!$A:$A,"&lt;="&amp;$B$83,Tarefas!$C:$C,$B$93,Tarefas!$J:$J,$H$95,Tarefas!$E:$E,G132)</f>
        <v>0</v>
      </c>
      <c r="J132" s="3" t="s">
        <v>58</v>
      </c>
      <c r="K132" s="3" t="s">
        <v>59</v>
      </c>
      <c r="L132" s="3" t="s">
        <v>60</v>
      </c>
    </row>
    <row r="133" spans="1:12" x14ac:dyDescent="0.25">
      <c r="G133" s="15" t="s">
        <v>61</v>
      </c>
      <c r="H133" s="3">
        <f>COUNTIFS(Tarefas!$A:$A,"&gt;="&amp;$B$82,Tarefas!$A:$A,"&lt;="&amp;$B$83,Tarefas!$C:$C,$B$93,Tarefas!$J:$J,$H$95,Tarefas!$E:$E,"")</f>
        <v>0</v>
      </c>
      <c r="J133" s="3">
        <f>COUNTIFS(Tarefas!$A:$A,"&gt;="&amp;$B$82,Tarefas!$A:$A,"&lt;="&amp;$B$83,Tarefas!$C:$C,$B$93,Tarefas!$J:$J,$J$97,Tarefas!$H:$H,"&lt;"&amp;0)</f>
        <v>0</v>
      </c>
      <c r="K133" s="3">
        <f>COUNTIFS(Tarefas!$A:$A,"&gt;="&amp;$B$82,Tarefas!$A:$A,"&lt;="&amp;$B$83,Tarefas!$C:$C,$B$93,Tarefas!$J:$J,$K$97,Tarefas!$H:$H,"&gt;="&amp;0)</f>
        <v>0</v>
      </c>
      <c r="L133" s="3">
        <f>COUNTIFS(Tarefas!$A:$A,"&gt;="&amp;$B$82,Tarefas!$A:$A,"&lt;="&amp;$B$83,Tarefas!$C:$C,$B$93,Tarefas!$J:$J,$L$97,Tarefas!$F:$F,"")</f>
        <v>0</v>
      </c>
    </row>
    <row r="135" spans="1:12" x14ac:dyDescent="0.25">
      <c r="A135" s="2" t="s">
        <v>93</v>
      </c>
      <c r="B135" s="4" t="s">
        <v>96</v>
      </c>
      <c r="E135" s="4" t="s">
        <v>97</v>
      </c>
    </row>
    <row r="136" spans="1:12" x14ac:dyDescent="0.25">
      <c r="B136" s="15" t="s">
        <v>95</v>
      </c>
      <c r="C136" s="3" t="s">
        <v>94</v>
      </c>
      <c r="E136" s="15" t="s">
        <v>95</v>
      </c>
      <c r="F136" s="3" t="s">
        <v>94</v>
      </c>
    </row>
    <row r="137" spans="1:12" x14ac:dyDescent="0.25">
      <c r="A137" s="39">
        <v>1</v>
      </c>
      <c r="B137" s="3" t="str">
        <f ca="1">IFERROR(IF(C137="","",INDEX($B$121:$AY$121,1,MATCH(LARGE($B$124:$AY$124,A137),$B$124:$AY$124,0))),"")</f>
        <v/>
      </c>
      <c r="C137" s="3" t="str">
        <f ca="1">IFERROR(IF(INDEX($B$122:$AY$122,1,MATCH(LARGE($B$124:$AY$124,A137),$B$124:$AY$124,0))=0,"",INDEX($B$122:$AY$122,1,MATCH(LARGE($B$124:$AY$124,A137),$B$124:$AY$124,0))),"")</f>
        <v/>
      </c>
      <c r="E137" s="3" t="str">
        <f ca="1">IFERROR(IF(F137="","",INDEX($B$121:$AY$121,1,MATCH(LARGE($B$125:$AY$125,A137),$B$125:$AY$125,0))),"")</f>
        <v/>
      </c>
      <c r="F137" s="3" t="str">
        <f ca="1">IFERROR(IF(INDEX($B$123:$AY$123,1,MATCH(LARGE($B$125:$AY$125,A137),$B$125:$AY$125,0))=0,"",INDEX($B$123:$AY$123,1,MATCH(LARGE($B$125:$AY$125,A137),$B$125:$AY$125,0))),"")</f>
        <v/>
      </c>
    </row>
    <row r="138" spans="1:12" x14ac:dyDescent="0.25">
      <c r="A138" s="39">
        <v>2</v>
      </c>
      <c r="B138" s="3" t="str">
        <f t="shared" ref="B138:B141" ca="1" si="5">IFERROR(IF(C138="","",INDEX($B$121:$AY$121,1,MATCH(LARGE($B$124:$AY$124,A138),$B$124:$AY$124,0))),"")</f>
        <v/>
      </c>
      <c r="C138" s="3" t="str">
        <f t="shared" ref="C138:C141" ca="1" si="6">IFERROR(IF(INDEX($B$122:$AY$122,1,MATCH(LARGE($B$124:$AY$124,A138),$B$124:$AY$124,0))=0,"",INDEX($B$122:$AY$122,1,MATCH(LARGE($B$124:$AY$124,A138),$B$124:$AY$124,0))),"")</f>
        <v/>
      </c>
      <c r="E138" s="3" t="str">
        <f t="shared" ref="E138:E141" ca="1" si="7">IFERROR(IF(F138="","",INDEX($B$121:$AY$121,1,MATCH(LARGE($B$125:$AY$125,A138),$B$125:$AY$125,0))),"")</f>
        <v/>
      </c>
      <c r="F138" s="3" t="str">
        <f t="shared" ref="F138:F141" ca="1" si="8">IFERROR(IF(INDEX($B$123:$AY$123,1,MATCH(LARGE($B$125:$AY$125,A138),$B$125:$AY$125,0))=0,"",INDEX($B$123:$AY$123,1,MATCH(LARGE($B$125:$AY$125,A138),$B$125:$AY$125,0))),"")</f>
        <v/>
      </c>
    </row>
    <row r="139" spans="1:12" x14ac:dyDescent="0.25">
      <c r="A139" s="39">
        <v>3</v>
      </c>
      <c r="B139" s="3" t="str">
        <f t="shared" ca="1" si="5"/>
        <v/>
      </c>
      <c r="C139" s="3" t="str">
        <f t="shared" ca="1" si="6"/>
        <v/>
      </c>
      <c r="E139" s="3" t="str">
        <f t="shared" ca="1" si="7"/>
        <v/>
      </c>
      <c r="F139" s="3" t="str">
        <f t="shared" ca="1" si="8"/>
        <v/>
      </c>
    </row>
    <row r="140" spans="1:12" x14ac:dyDescent="0.25">
      <c r="A140" s="39">
        <v>4</v>
      </c>
      <c r="B140" s="3" t="str">
        <f t="shared" ca="1" si="5"/>
        <v/>
      </c>
      <c r="C140" s="3" t="str">
        <f t="shared" ca="1" si="6"/>
        <v/>
      </c>
      <c r="E140" s="3" t="str">
        <f t="shared" ca="1" si="7"/>
        <v/>
      </c>
      <c r="F140" s="3" t="str">
        <f t="shared" ca="1" si="8"/>
        <v/>
      </c>
    </row>
    <row r="141" spans="1:12" x14ac:dyDescent="0.25">
      <c r="A141" s="39">
        <v>5</v>
      </c>
      <c r="B141" s="3" t="str">
        <f t="shared" ca="1" si="5"/>
        <v/>
      </c>
      <c r="C141" s="3" t="str">
        <f t="shared" ca="1" si="6"/>
        <v/>
      </c>
      <c r="E141" s="3" t="str">
        <f t="shared" ca="1" si="7"/>
        <v/>
      </c>
      <c r="F141" s="3" t="str">
        <f t="shared" ca="1" si="8"/>
        <v/>
      </c>
    </row>
  </sheetData>
  <mergeCells count="1">
    <mergeCell ref="F43:L43"/>
  </mergeCells>
  <phoneticPr fontId="4" type="noConversion"/>
  <pageMargins left="0.511811024" right="0.511811024" top="0.78740157499999996" bottom="0.78740157499999996" header="0.31496062000000002" footer="0.3149606200000000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</vt:i4>
      </vt:variant>
    </vt:vector>
  </HeadingPairs>
  <TitlesOfParts>
    <vt:vector size="9" baseType="lpstr">
      <vt:lpstr>Tutorial</vt:lpstr>
      <vt:lpstr>AJUDA</vt:lpstr>
      <vt:lpstr>Cadastros</vt:lpstr>
      <vt:lpstr>Tarefas</vt:lpstr>
      <vt:lpstr>Dashboard 1 - Geral</vt:lpstr>
      <vt:lpstr>Dashboard 2 - Mês</vt:lpstr>
      <vt:lpstr>Dashboard 3 - Setor</vt:lpstr>
      <vt:lpstr>Dashboard 4 - Responsável</vt:lpstr>
      <vt:lpstr>iniciomes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Soares</dc:creator>
  <cp:lastModifiedBy>Matheus Soares</cp:lastModifiedBy>
  <cp:lastPrinted>2024-03-03T08:59:16Z</cp:lastPrinted>
  <dcterms:created xsi:type="dcterms:W3CDTF">2015-06-05T18:19:34Z</dcterms:created>
  <dcterms:modified xsi:type="dcterms:W3CDTF">2024-05-13T17:08:57Z</dcterms:modified>
</cp:coreProperties>
</file>